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codeName="ThisWorkbook" defaultThemeVersion="124226"/>
  <mc:AlternateContent xmlns:mc="http://schemas.openxmlformats.org/markup-compatibility/2006">
    <mc:Choice Requires="x15">
      <x15ac:absPath xmlns:x15ac="http://schemas.microsoft.com/office/spreadsheetml/2010/11/ac" url="\\a-fs\001限定\410技術管理部\001確認検査業務\様式\20201208法定・規程様式(押印削除)\業務規程様式_確認検査\"/>
    </mc:Choice>
  </mc:AlternateContent>
  <xr:revisionPtr revIDLastSave="0" documentId="13_ncr:1_{4341B644-0CFF-47E6-8BD4-6518746041FE}" xr6:coauthVersionLast="45" xr6:coauthVersionMax="45" xr10:uidLastSave="{00000000-0000-0000-0000-000000000000}"/>
  <bookViews>
    <workbookView xWindow="-2685" yWindow="-15705" windowWidth="17220" windowHeight="14925" tabRatio="947" firstSheet="7" activeTab="7" xr2:uid="{00000000-000D-0000-FFFF-FFFF00000000}"/>
  </bookViews>
  <sheets>
    <sheet name="dSHEET" sheetId="1" state="veryHidden" r:id="rId1"/>
    <sheet name="dSTART" sheetId="2" state="veryHidden" r:id="rId2"/>
    <sheet name="DATA" sheetId="3" state="veryHidden" r:id="rId3"/>
    <sheet name="cst_DATA" sheetId="4" state="veryHidden" r:id="rId4"/>
    <sheet name="項目リスト" sheetId="5" state="veryHidden" r:id="rId5"/>
    <sheet name="用途の区分" sheetId="6" state="veryHidden" r:id="rId6"/>
    <sheet name="リスト" sheetId="7" state="veryHidden" r:id="rId7"/>
    <sheet name="委任状_確認等" sheetId="133" r:id="rId8"/>
    <sheet name="説明" sheetId="8" r:id="rId9"/>
    <sheet name="非表示予定" sheetId="118" state="veryHidden" r:id="rId10"/>
  </sheets>
  <definedNames>
    <definedName name="__IntlFixup" hidden="1">TRUE</definedName>
    <definedName name="__IntlFixupTable" localSheetId="9" hidden="1">#REF!</definedName>
    <definedName name="__IntlFixupTable" hidden="1">#REF!</definedName>
    <definedName name="_１級">リスト!$A$3</definedName>
    <definedName name="_output_sheetname">DATA!$D$9</definedName>
    <definedName name="_output_title">DATA!$D$7</definedName>
    <definedName name="AAA_01" localSheetId="7" hidden="1">#REF!</definedName>
    <definedName name="AAA_01" localSheetId="9" hidden="1">#REF!</definedName>
    <definedName name="AAA_01" hidden="1">#REF!</definedName>
    <definedName name="chk_INTER_state_in_final">DATA!$F$30</definedName>
    <definedName name="chk_INTER1_state_in_conf">DATA!$F$27</definedName>
    <definedName name="chk_INTER2_state_in_conf">DATA!$F$28</definedName>
    <definedName name="chk_INTER3_state_in_conf">DATA!$F$29</definedName>
    <definedName name="chk_JOB_KIND_kakunin">DATA!$F$26</definedName>
    <definedName name="cls_JOB_KIND_base_point">cst_DATA!$I$23</definedName>
    <definedName name="cls_JOB_KIND_erea">cst_DATA!$H$24:$H$29</definedName>
    <definedName name="cls_JOB_SET_KIND_base_point">cst_DATA!$I$4</definedName>
    <definedName name="cls_JOB_SET_KIND_erea">cst_DATA!$H$5:$H$9</definedName>
    <definedName name="cls_TARGET_KIND_base_point">cst_DATA!$I$13</definedName>
    <definedName name="cls_TARGET_KIND_erea">cst_DATA!$H$14:$H$19</definedName>
    <definedName name="cst__output_sheetname">DATA!$F$9</definedName>
    <definedName name="cst__output_title">DATA!$F$7</definedName>
    <definedName name="cst_ISSUE_DATE_select">DATA!$F$32</definedName>
    <definedName name="cst_ISSUE_KOUFU_NAME_select">DATA!$F$65</definedName>
    <definedName name="cst_ISSUE_NO_select">DATA!$F$31</definedName>
    <definedName name="cst_koujikikan_month">DATA!$F$1146</definedName>
    <definedName name="cst_koujikikan_year">DATA!$F$1145</definedName>
    <definedName name="cst_shinsei_build_p6_01_PAGE6_KOUZOU_KEISAN_KIND__002">DATA!$F$53</definedName>
    <definedName name="cst_shinsei_build_p6_01_PAGE6_KOUZOU_KEISAN_KIND__004">DATA!$F$52</definedName>
    <definedName name="cst_shinsei_build_p6_01_PAGE6_KOUZOU_KEISAN_KIND__005">DATA!$F$51</definedName>
    <definedName name="cst_shinsei_build_YOUTO">DATA!$F$1328</definedName>
    <definedName name="cst_shinsei_HIKIUKE_DATE">DATA!$F$40</definedName>
    <definedName name="cst_shinsei_ISSUE_DATE">DATA!$F$46</definedName>
    <definedName name="cst_shinsei_ISSUE_KOUFU_NAME">DATA!$F$48</definedName>
    <definedName name="cst_shinsei_ISSUE_NO">DATA!$F$42</definedName>
    <definedName name="cst_shinsei_ISSUE_NO_disp">DATA!$F$43</definedName>
    <definedName name="cst_shinsei_KAKU_SUMI_NO">DATA!$F$44</definedName>
    <definedName name="cst_shinsei_KAKUNIN_ISSUE_NO">DATA!$F$63</definedName>
    <definedName name="cst_shinsei_KAKUNIN_KOUFU_DATE">DATA!$F$66</definedName>
    <definedName name="cst_shinsei_PROVO_DATE">DATA!$F$34</definedName>
    <definedName name="cst_shinsei_PROVO_NO">DATA!$F$35</definedName>
    <definedName name="cst_shinsei_UKETUKE_NO">DATA!$F$38</definedName>
    <definedName name="cst_shinsei_UNIT_COUNT">DATA!$F$967</definedName>
    <definedName name="cst_wsflat35_dairi1_POST">DATA!$F$194</definedName>
    <definedName name="cst_wsjob_JOB_KIND">DATA!$F$19</definedName>
    <definedName name="cst_wsjob_JOB_KIND_final_box">DATA!$F$22</definedName>
    <definedName name="cst_wsjob_JOB_KIND_inter_box">DATA!$F$21</definedName>
    <definedName name="cst_wsjob_JOB_KIND_kakunin_box">DATA!$F$20</definedName>
    <definedName name="cst_wsjob_JOB_SET_KIND">DATA!$F$12</definedName>
    <definedName name="cst_wsjob_KENTIKUBUTU_box">DATA!$F$14</definedName>
    <definedName name="cst_wsjob_KENTIKUSETUBI_box">DATA!$F$16</definedName>
    <definedName name="cst_wsjob_KOUSAKUBUTU_1_box">DATA!$F$17</definedName>
    <definedName name="cst_wsjob_KOUSAKUBUTU_2_box">DATA!$F$18</definedName>
    <definedName name="cst_wsjob_SYOUKOUKI_box">DATA!$F$15</definedName>
    <definedName name="cst_wsjob_TARGET_KIND">DATA!$F$13</definedName>
    <definedName name="cst_wsjob_TARGET_KIND__label">DATA!$F$11</definedName>
    <definedName name="cst_wskakunin__bouka">DATA!$F$921</definedName>
    <definedName name="cst_wskakunin__kouji">DATA!$F$971</definedName>
    <definedName name="cst_wskakunin__kuiki">DATA!$F$912</definedName>
    <definedName name="cst_wskakunin__kuiki_box">DATA!$F$913</definedName>
    <definedName name="cst_wskakunin__tosi_kuiki">DATA!$F$915</definedName>
    <definedName name="cst_wskakunin_20kouzou101_KOUZOUSEKKEI_KOUFU_NO">DATA!$F$489</definedName>
    <definedName name="cst_wskakunin_20kouzou101_NAME">DATA!$F$488</definedName>
    <definedName name="cst_wskakunin_20kouzou102_KOUZOUSEKKEI_KOUFU_NO">DATA!$F$491</definedName>
    <definedName name="cst_wskakunin_20kouzou102_NAME">DATA!$F$490</definedName>
    <definedName name="cst_wskakunin_20kouzou103_KOUZOUSEKKEI_KOUFU_NO">DATA!$F$493</definedName>
    <definedName name="cst_wskakunin_20kouzou103_NAME">DATA!$F$492</definedName>
    <definedName name="cst_wskakunin_20kouzou104_KOUZOUSEKKEI_KOUFU_NO">DATA!$F$495</definedName>
    <definedName name="cst_wskakunin_20kouzou104_NAME">DATA!$F$494</definedName>
    <definedName name="cst_wskakunin_20kouzou105_KOUZOUSEKKEI_KOUFU_NO">DATA!$F$497</definedName>
    <definedName name="cst_wskakunin_20kouzou105_NAME">DATA!$F$496</definedName>
    <definedName name="cst_wskakunin_20kouzou301_KOUZOUSEKKEI_KOUFU_NO">DATA!$F$501</definedName>
    <definedName name="cst_wskakunin_20kouzou301_NAME">DATA!$F$500</definedName>
    <definedName name="cst_wskakunin_20kouzou302_KOUZOUSEKKEI_KOUFU_NO">DATA!$F$503</definedName>
    <definedName name="cst_wskakunin_20kouzou302_NAME">DATA!$F$502</definedName>
    <definedName name="cst_wskakunin_20kouzou303_KOUZOUSEKKEI_KOUFU_NO">DATA!$F$505</definedName>
    <definedName name="cst_wskakunin_20kouzou303_NAME">DATA!$F$504</definedName>
    <definedName name="cst_wskakunin_20kouzou304_KOUZOUSEKKEI_KOUFU_NO">DATA!$F$507</definedName>
    <definedName name="cst_wskakunin_20kouzou304_NAME">DATA!$F$506</definedName>
    <definedName name="cst_wskakunin_20kouzou305_KOUZOUSEKKEI_KOUFU_NO">DATA!$F$509</definedName>
    <definedName name="cst_wskakunin_20kouzou305_NAME">DATA!$F$508</definedName>
    <definedName name="cst_wskakunin_20setubi101_NAME">DATA!$F$512</definedName>
    <definedName name="cst_wskakunin_20setubi101_SETUBISEKKEI_KOUFU_NO">DATA!$F$513</definedName>
    <definedName name="cst_wskakunin_20setubi102_NAME">DATA!$F$514</definedName>
    <definedName name="cst_wskakunin_20setubi102_SETUBISEKKEI_KOUFU_NO">DATA!$F$515</definedName>
    <definedName name="cst_wskakunin_20setubi103_NAME">DATA!$F$516</definedName>
    <definedName name="cst_wskakunin_20setubi103_SETUBISEKKEI_KOUFU_NO">DATA!$F$517</definedName>
    <definedName name="cst_wskakunin_20setubi104_NAME">DATA!$F$518</definedName>
    <definedName name="cst_wskakunin_20setubi104_SETUBISEKKEI_KOUFU_NO">DATA!$F$519</definedName>
    <definedName name="cst_wskakunin_20setubi105_NAME">DATA!$F$520</definedName>
    <definedName name="cst_wskakunin_20setubi105_SETUBISEKKEI_KOUFU_NO">DATA!$F$521</definedName>
    <definedName name="cst_wskakunin_20setubi301_NAME">DATA!$F$524</definedName>
    <definedName name="cst_wskakunin_20setubi301_SETUBISEKKEI_KOUFU_NO">DATA!$F$525</definedName>
    <definedName name="cst_wskakunin_20setubi302_NAME">DATA!$F$526</definedName>
    <definedName name="cst_wskakunin_20setubi302_SETUBISEKKEI_KOUFU_NO">DATA!$F$527</definedName>
    <definedName name="cst_wskakunin_20setubi303_NAME">DATA!$F$528</definedName>
    <definedName name="cst_wskakunin_20setubi303_SETUBISEKKEI_KOUFU_NO">DATA!$F$529</definedName>
    <definedName name="cst_wskakunin_20setubi304_NAME">DATA!$F$530</definedName>
    <definedName name="cst_wskakunin_20setubi304_SETUBISEKKEI_KOUFU_NO">DATA!$F$531</definedName>
    <definedName name="cst_wskakunin_20setubi305_NAME">DATA!$F$532</definedName>
    <definedName name="cst_wskakunin_20setubi305_SETUBISEKKEI_KOUFU_NO">DATA!$F$533</definedName>
    <definedName name="cst_wskakunin_APPLICANT_NAME">DATA!$F$71</definedName>
    <definedName name="cst_wskakunin_BOUKA_22JYO">DATA!$F$925</definedName>
    <definedName name="cst_wskakunin_BOUKA_BOUKA">DATA!$F$922</definedName>
    <definedName name="cst_wskakunin_BOUKA_JYUN_BOUKA">DATA!$F$923</definedName>
    <definedName name="cst_wskakunin_BOUKA_NASI">DATA!$F$924</definedName>
    <definedName name="cst_wskakunin_BOUKA_SETUBI_FLAG">DATA!$F$1170</definedName>
    <definedName name="cst_wskakunin_BOUKA_SETUBI_FLAG_box_off">DATA!$F$1172</definedName>
    <definedName name="cst_wskakunin_BOUKA_SETUBI_FLAG_box_on">DATA!$F$1171</definedName>
    <definedName name="cst_wskakunin_BUILD__address">DATA!$F$901</definedName>
    <definedName name="cst_wskakunin_BUILD_ADDRESS">DATA!$F$903</definedName>
    <definedName name="cst_wskakunin_BUILD_JYUKYO__address">DATA!$F$906</definedName>
    <definedName name="cst_wskakunin_BUILD_JYUKYO_ADDRESS">DATA!$F$908</definedName>
    <definedName name="cst_wskakunin_BUILD_JYUKYO_KEN__ken">DATA!$F$907</definedName>
    <definedName name="cst_wskakunin_BUILD_KEN__ken">DATA!$F$902</definedName>
    <definedName name="cst_wskakunin_BUILD_NAME">DATA!$F$837</definedName>
    <definedName name="cst_wskakunin_BUILD_NAME_KANA">DATA!$F$838</definedName>
    <definedName name="cst_wskakunin_BUILD_SHINSEI_COUNT">DATA!$F$1085</definedName>
    <definedName name="cst_wskakunin_BUILD_SONOTA_COUNT">DATA!$F$1086</definedName>
    <definedName name="cst_wskakunin_dairi1__address">DATA!$F$204</definedName>
    <definedName name="cst_wskakunin_dairi1__sikaku">DATA!$F$190</definedName>
    <definedName name="cst_wskakunin_dairi1__space">DATA!$F$207</definedName>
    <definedName name="cst_wskakunin_dairi1__space2">DATA!$F$208</definedName>
    <definedName name="cst_wskakunin_dairi1__space3">DATA!$F$196</definedName>
    <definedName name="cst_wskakunin_dairi1_FAX">DATA!$F$206</definedName>
    <definedName name="cst_wskakunin_dairi1_JIMU__sikaku">DATA!$F$198</definedName>
    <definedName name="cst_wskakunin_dairi1_JIMU_NAME">DATA!$F$202</definedName>
    <definedName name="cst_wskakunin_dairi1_JIMU_NO">DATA!$F$201</definedName>
    <definedName name="cst_wskakunin_dairi1_JIMU_SIKAKU">DATA!$F$199</definedName>
    <definedName name="cst_wskakunin_dairi1_JIMU_TOUROKU_KIKAN">DATA!$F$200</definedName>
    <definedName name="cst_wskakunin_dairi1_KENTIKUSI_NO">DATA!$F$193</definedName>
    <definedName name="cst_wskakunin_dairi1_NAME">DATA!$F$195</definedName>
    <definedName name="cst_wskakunin_dairi1_NAME_KANA">DATA!$F$197</definedName>
    <definedName name="cst_wskakunin_dairi1_SIKAKU">DATA!$F$191</definedName>
    <definedName name="cst_wskakunin_dairi1_TEL">DATA!$F$205</definedName>
    <definedName name="cst_wskakunin_dairi1_TOUROKU_KIKAN">DATA!$F$192</definedName>
    <definedName name="cst_wskakunin_dairi1_ZIP">DATA!$F$203</definedName>
    <definedName name="cst_wskakunin_dairi2__address">DATA!$F$223</definedName>
    <definedName name="cst_wskakunin_dairi2__sikaku">DATA!$F$211</definedName>
    <definedName name="cst_wskakunin_dairi2__space">DATA!$F$226</definedName>
    <definedName name="cst_wskakunin_dairi2_FAX">DATA!$F$225</definedName>
    <definedName name="cst_wskakunin_dairi2_JIMU__sikaku">DATA!$F$217</definedName>
    <definedName name="cst_wskakunin_dairi2_JIMU_NAME">DATA!$F$221</definedName>
    <definedName name="cst_wskakunin_dairi2_JIMU_NO">DATA!$F$220</definedName>
    <definedName name="cst_wskakunin_dairi2_JIMU_SIKAKU">DATA!$F$218</definedName>
    <definedName name="cst_wskakunin_dairi2_JIMU_TOUROKU_KIKAN">DATA!$F$219</definedName>
    <definedName name="cst_wskakunin_dairi2_KENTIKUSI_NO">DATA!$F$214</definedName>
    <definedName name="cst_wskakunin_dairi2_NAME">DATA!$F$215</definedName>
    <definedName name="cst_wskakunin_dairi2_NAME_KANA">DATA!$F$216</definedName>
    <definedName name="cst_wskakunin_dairi2_SIKAKU">DATA!$F$212</definedName>
    <definedName name="cst_wskakunin_dairi2_TEL">DATA!$F$224</definedName>
    <definedName name="cst_wskakunin_dairi2_TOUROKU_KIKAN">DATA!$F$213</definedName>
    <definedName name="cst_wskakunin_dairi2_ZIP">DATA!$F$222</definedName>
    <definedName name="cst_wskakunin_dairi3__address">DATA!$F$241</definedName>
    <definedName name="cst_wskakunin_dairi3__sikaku">DATA!$F$229</definedName>
    <definedName name="cst_wskakunin_dairi3__space">DATA!$F$244</definedName>
    <definedName name="cst_wskakunin_dairi3_FAX">DATA!$F$243</definedName>
    <definedName name="cst_wskakunin_dairi3_JIMU__sikaku">DATA!$F$235</definedName>
    <definedName name="cst_wskakunin_dairi3_JIMU_NAME">DATA!$F$239</definedName>
    <definedName name="cst_wskakunin_dairi3_JIMU_NO">DATA!$F$238</definedName>
    <definedName name="cst_wskakunin_dairi3_JIMU_SIKAKU">DATA!$F$236</definedName>
    <definedName name="cst_wskakunin_dairi3_JIMU_TOUROKU_KIKAN">DATA!$F$237</definedName>
    <definedName name="cst_wskakunin_dairi3_KENTIKUSI_NO">DATA!$F$232</definedName>
    <definedName name="cst_wskakunin_dairi3_NAME">DATA!$F$233</definedName>
    <definedName name="cst_wskakunin_dairi3_NAME_KANA">DATA!$F$234</definedName>
    <definedName name="cst_wskakunin_dairi3_SIKAKU">DATA!$F$230</definedName>
    <definedName name="cst_wskakunin_dairi3_TEL">DATA!$F$242</definedName>
    <definedName name="cst_wskakunin_dairi3_TOUROKU_KIKAN">DATA!$F$231</definedName>
    <definedName name="cst_wskakunin_dairi3_ZIP">DATA!$F$240</definedName>
    <definedName name="cst_wskakunin_dairi4__address">DATA!$F$259</definedName>
    <definedName name="cst_wskakunin_dairi4__sikaku">DATA!$F$247</definedName>
    <definedName name="cst_wskakunin_dairi4__space">DATA!$F$262</definedName>
    <definedName name="cst_wskakunin_dairi4_FAX">DATA!$F$261</definedName>
    <definedName name="cst_wskakunin_dairi4_JIMU__sikaku">DATA!$F$253</definedName>
    <definedName name="cst_wskakunin_dairi4_JIMU_NAME">DATA!$F$257</definedName>
    <definedName name="cst_wskakunin_dairi4_JIMU_NO">DATA!$F$256</definedName>
    <definedName name="cst_wskakunin_dairi4_JIMU_SIKAKU">DATA!$F$254</definedName>
    <definedName name="cst_wskakunin_dairi4_JIMU_TOUROKU_KIKAN">DATA!$F$255</definedName>
    <definedName name="cst_wskakunin_dairi4_KENTIKUSI_NO">DATA!$F$250</definedName>
    <definedName name="cst_wskakunin_dairi4_NAME">DATA!$F$251</definedName>
    <definedName name="cst_wskakunin_dairi4_NAME_KANA">DATA!$F$252</definedName>
    <definedName name="cst_wskakunin_dairi4_SIKAKU">DATA!$F$248</definedName>
    <definedName name="cst_wskakunin_dairi4_TEL">DATA!$F$260</definedName>
    <definedName name="cst_wskakunin_dairi4_TOUROKU_KIKAN">DATA!$F$249</definedName>
    <definedName name="cst_wskakunin_dairi4_ZIP">DATA!$F$258</definedName>
    <definedName name="cst_wskakunin_dairi5__address">DATA!$F$277</definedName>
    <definedName name="cst_wskakunin_dairi5__sikaku">DATA!$F$265</definedName>
    <definedName name="cst_wskakunin_dairi5__space">DATA!$F$280</definedName>
    <definedName name="cst_wskakunin_dairi5_FAX">DATA!$F$279</definedName>
    <definedName name="cst_wskakunin_dairi5_JIMU__sikaku">DATA!$F$271</definedName>
    <definedName name="cst_wskakunin_dairi5_JIMU_NAME">DATA!$F$275</definedName>
    <definedName name="cst_wskakunin_dairi5_JIMU_NO">DATA!$F$274</definedName>
    <definedName name="cst_wskakunin_dairi5_JIMU_SIKAKU">DATA!$F$272</definedName>
    <definedName name="cst_wskakunin_dairi5_JIMU_TOUROKU_KIKAN">DATA!$F$273</definedName>
    <definedName name="cst_wskakunin_dairi5_KENTIKUSI_NO">DATA!$F$268</definedName>
    <definedName name="cst_wskakunin_dairi5_NAME">DATA!$F$269</definedName>
    <definedName name="cst_wskakunin_dairi5_NAME_KANA">DATA!$F$270</definedName>
    <definedName name="cst_wskakunin_dairi5_SIKAKU">DATA!$F$266</definedName>
    <definedName name="cst_wskakunin_dairi5_TEL">DATA!$F$278</definedName>
    <definedName name="cst_wskakunin_dairi5_TOUROKU_KIKAN">DATA!$F$267</definedName>
    <definedName name="cst_wskakunin_dairi5_ZIP">DATA!$F$276</definedName>
    <definedName name="cst_wskakunin_DOURO_FUKUIN">DATA!$F$930</definedName>
    <definedName name="cst_wskakunin_DOURO_NAGASA">DATA!$F$931</definedName>
    <definedName name="cst_wskakunin_ecotekihan01_FUYOU_CAUSE">DATA!$F$867</definedName>
    <definedName name="cst_wskakunin_ecotekihan01_miteisyutu_kikan_info">DATA!$F$866</definedName>
    <definedName name="cst_wskakunin_ecotekihan01_teisyutu_kikan_info">DATA!$F$865</definedName>
    <definedName name="cst_wskakunin_ecotekihan01_TEKIHAN_KIKAN_ADDRESS">DATA!$F$863</definedName>
    <definedName name="cst_wskakunin_ecotekihan01_TEKIHAN_KIKAN_KEN__ken">DATA!$F$862</definedName>
    <definedName name="cst_wskakunin_ecotekihan01_TEKIHAN_KIKAN_NAME">DATA!$F$861</definedName>
    <definedName name="cst_wskakunin_ecotekihan01_TEKIHAN_STATE_miteisyutu">DATA!$F$859</definedName>
    <definedName name="cst_wskakunin_ecotekihan01_TEKIHAN_STATE_teisyutu">DATA!$F$858</definedName>
    <definedName name="cst_wskakunin_ecotekihan01_TEKIHAN_STATE_teisyutufuyou">DATA!$F$860</definedName>
    <definedName name="cst_wskakunin_gaiyou1_EV_KIND">DATA!$F$1002</definedName>
    <definedName name="cst_wskakunin_gaiyou1_KOUJI_KAITIKU">DATA!$F$989</definedName>
    <definedName name="cst_wskakunin_gaiyou1_KOUJI_SINTIKU">DATA!$F$987</definedName>
    <definedName name="cst_wskakunin_gaiyou1_KOUJI_SONOTA">DATA!$F$990</definedName>
    <definedName name="cst_wskakunin_gaiyou1_KOUJI_SONOTA_TEXT">DATA!$F$991</definedName>
    <definedName name="cst_wskakunin_gaiyou1_KOUJI_ZOUTIKU">DATA!$F$988</definedName>
    <definedName name="cst_wskakunin_gaiyou1_KOUZOU">DATA!$F$986</definedName>
    <definedName name="cst_wskakunin_gaiyou1_NINSYOU_NO">DATA!$F$1008</definedName>
    <definedName name="cst_wskakunin_gaiyou1_NO">DATA!$F$1001</definedName>
    <definedName name="cst_wskakunin_gaiyou1_SEKISAI">DATA!$F$1004</definedName>
    <definedName name="cst_wskakunin_gaiyou1_SONOTA">DATA!$F$1007</definedName>
    <definedName name="cst_wskakunin_gaiyou1_SONOTA_and_NINSYOU_NO">DATA!$F$1009</definedName>
    <definedName name="cst_wskakunin_gaiyou1_SPEED">DATA!$F$1006</definedName>
    <definedName name="cst_wskakunin_gaiyou1_TAKASA">DATA!$F$985</definedName>
    <definedName name="cst_wskakunin_gaiyou1_TEIIN">DATA!$F$1005</definedName>
    <definedName name="cst_wskakunin_gaiyou1_TIKUZOU_MENSEKI_IGAI">DATA!$F$994</definedName>
    <definedName name="cst_wskakunin_gaiyou1_TIKUZOU_MENSEKI_SHINSEI">DATA!$F$993</definedName>
    <definedName name="cst_wskakunin_gaiyou1_TIKUZOU_MENSEKI_TOTAL">DATA!$F$995</definedName>
    <definedName name="cst_wskakunin_gaiyou1_WORK_COUNT_IGAI">DATA!$F$997</definedName>
    <definedName name="cst_wskakunin_gaiyou1_WORK_COUNT_SHINSEI">DATA!$F$996</definedName>
    <definedName name="cst_wskakunin_gaiyou1_WORK_COUNT_TOTAL">DATA!$F$998</definedName>
    <definedName name="cst_wskakunin_gaiyou1_WORK_SYURUI">DATA!$F$984</definedName>
    <definedName name="cst_wskakunin_gaiyou1_WORK_SYURUI_CODE">DATA!$F$983</definedName>
    <definedName name="cst_wskakunin_gaiyou1_YOUTO">DATA!$F$1003</definedName>
    <definedName name="cst_wskakunin_iken1__address">DATA!$F$540</definedName>
    <definedName name="cst_wskakunin_iken1_DOC">DATA!$F$543</definedName>
    <definedName name="cst_wskakunin_iken1_IKEN_NO">DATA!$F$542</definedName>
    <definedName name="cst_wskakunin_iken1_JIMU_NAME">DATA!$F$538</definedName>
    <definedName name="cst_wskakunin_iken1_NAME">DATA!$F$537</definedName>
    <definedName name="cst_wskakunin_iken1_TEL">DATA!$F$541</definedName>
    <definedName name="cst_wskakunin_iken1_ZIP">DATA!$F$539</definedName>
    <definedName name="cst_wskakunin_iken2__address">DATA!$F$549</definedName>
    <definedName name="cst_wskakunin_iken2_DOC">DATA!$F$552</definedName>
    <definedName name="cst_wskakunin_iken2_IKEN_NO">DATA!$F$551</definedName>
    <definedName name="cst_wskakunin_iken2_JIMU_NAME">DATA!$F$547</definedName>
    <definedName name="cst_wskakunin_iken2_NAME">DATA!$F$546</definedName>
    <definedName name="cst_wskakunin_iken2_TEL">DATA!$F$550</definedName>
    <definedName name="cst_wskakunin_iken2_ZIP">DATA!$F$548</definedName>
    <definedName name="cst_wskakunin_iken3__address">DATA!$F$558</definedName>
    <definedName name="cst_wskakunin_iken3_DOC">DATA!$F$561</definedName>
    <definedName name="cst_wskakunin_iken3_IKEN_NO">DATA!$F$560</definedName>
    <definedName name="cst_wskakunin_iken3_JIMU_NAME">DATA!$F$556</definedName>
    <definedName name="cst_wskakunin_iken3_NAME">DATA!$F$555</definedName>
    <definedName name="cst_wskakunin_iken3_TEL">DATA!$F$559</definedName>
    <definedName name="cst_wskakunin_iken3_ZIP">DATA!$F$557</definedName>
    <definedName name="cst_wskakunin_iken4__address">DATA!$F$567</definedName>
    <definedName name="cst_wskakunin_iken4_DOC">DATA!$F$570</definedName>
    <definedName name="cst_wskakunin_iken4_IKEN_NO">DATA!$F$569</definedName>
    <definedName name="cst_wskakunin_iken4_JIMU_NAME">DATA!$F$565</definedName>
    <definedName name="cst_wskakunin_iken4_NAME">DATA!$F$564</definedName>
    <definedName name="cst_wskakunin_iken4_TEL">DATA!$F$568</definedName>
    <definedName name="cst_wskakunin_iken4_ZIP">DATA!$F$566</definedName>
    <definedName name="cst_wskakunin_iken5__address">DATA!$F$575</definedName>
    <definedName name="cst_wskakunin_iken5_DOC">DATA!$F$578</definedName>
    <definedName name="cst_wskakunin_iken5_IKEN_NO">DATA!$F$577</definedName>
    <definedName name="cst_wskakunin_iken5_JIMU_NAME">DATA!$F$573</definedName>
    <definedName name="cst_wskakunin_iken5_NAME">DATA!$F$572</definedName>
    <definedName name="cst_wskakunin_iken5_TEL">DATA!$F$576</definedName>
    <definedName name="cst_wskakunin_iken5_ZIP">DATA!$F$574</definedName>
    <definedName name="cst_wskakunin_KAISU_TIJYOU_SHINSEI">DATA!$F$1093</definedName>
    <definedName name="cst_wskakunin_KAISU_TIJYOU_SONOTA">DATA!$F$1094</definedName>
    <definedName name="cst_wskakunin_KAISU_TIKA_SHINSEI__zero">DATA!$F$1096</definedName>
    <definedName name="cst_wskakunin_KAISU_TIKA_SONOTA">DATA!$F$1097</definedName>
    <definedName name="cst_wskakunin_kanri1__address">DATA!$F$593</definedName>
    <definedName name="cst_wskakunin_kanri1__sikaku">DATA!$F$581</definedName>
    <definedName name="cst_wskakunin_kanri1_DOC">DATA!$F$595</definedName>
    <definedName name="cst_wskakunin_kanri1_JIMU">DATA!$F$586</definedName>
    <definedName name="cst_wskakunin_kanri1_JIMU_NAME">DATA!$F$590</definedName>
    <definedName name="cst_wskakunin_kanri1_JIMU_NO">DATA!$F$589</definedName>
    <definedName name="cst_wskakunin_kanri1_JIMU_SIKAKU">DATA!$F$587</definedName>
    <definedName name="cst_wskakunin_kanri1_JIMU_TOUROKU_KIKAN">DATA!$F$588</definedName>
    <definedName name="cst_wskakunin_kanri1_KENTIKUSI_NO">DATA!$F$584</definedName>
    <definedName name="cst_wskakunin_kanri1_NAME">DATA!$F$585</definedName>
    <definedName name="cst_wskakunin_kanri1_SIKAKU">DATA!$F$582</definedName>
    <definedName name="cst_wskakunin_kanri1_TEL">DATA!$F$594</definedName>
    <definedName name="cst_wskakunin_kanri1_TOUROKU_KIKAN">DATA!$F$583</definedName>
    <definedName name="cst_wskakunin_kanri1_ZIP">DATA!$F$591</definedName>
    <definedName name="cst_wskakunin_kanri1_ZIP2">DATA!$F$592</definedName>
    <definedName name="cst_wskakunin_kanri10__address">DATA!$F$737</definedName>
    <definedName name="cst_wskakunin_kanri10__sikaku">DATA!$F$726</definedName>
    <definedName name="cst_wskakunin_kanri10_DOC">DATA!$F$739</definedName>
    <definedName name="cst_wskakunin_kanri10_JIMU__sikaku">DATA!$F$731</definedName>
    <definedName name="cst_wskakunin_kanri10_JIMU_NAME">DATA!$F$735</definedName>
    <definedName name="cst_wskakunin_kanri10_JIMU_NO">DATA!$F$734</definedName>
    <definedName name="cst_wskakunin_kanri10_JIMU_SIKAKU">DATA!$F$732</definedName>
    <definedName name="cst_wskakunin_kanri10_JIMU_TOUROKU_KIKAN">DATA!$F$733</definedName>
    <definedName name="cst_wskakunin_kanri10_KENTIKUSI_NO">DATA!$F$729</definedName>
    <definedName name="cst_wskakunin_kanri10_NAME">DATA!$F$730</definedName>
    <definedName name="cst_wskakunin_kanri10_SIKAKU">DATA!$F$727</definedName>
    <definedName name="cst_wskakunin_kanri10_TEL">DATA!$F$738</definedName>
    <definedName name="cst_wskakunin_kanri10_TOUROKU_KIKAN">DATA!$F$728</definedName>
    <definedName name="cst_wskakunin_kanri10_ZIP">DATA!$F$736</definedName>
    <definedName name="cst_wskakunin_kanri11__address">DATA!$F$753</definedName>
    <definedName name="cst_wskakunin_kanri11__sikaku">DATA!$F$742</definedName>
    <definedName name="cst_wskakunin_kanri11_DOC">DATA!$F$755</definedName>
    <definedName name="cst_wskakunin_kanri11_JIMU__sikaku">DATA!$F$747</definedName>
    <definedName name="cst_wskakunin_kanri11_JIMU_NAME">DATA!$F$751</definedName>
    <definedName name="cst_wskakunin_kanri11_JIMU_NO">DATA!$F$750</definedName>
    <definedName name="cst_wskakunin_kanri11_JIMU_SIKAKU">DATA!$F$748</definedName>
    <definedName name="cst_wskakunin_kanri11_JIMU_TOUROKU_KIKAN">DATA!$F$749</definedName>
    <definedName name="cst_wskakunin_kanri11_KENTIKUSI_NO">DATA!$F$745</definedName>
    <definedName name="cst_wskakunin_kanri11_NAME">DATA!$F$746</definedName>
    <definedName name="cst_wskakunin_kanri11_SIKAKU">DATA!$F$743</definedName>
    <definedName name="cst_wskakunin_kanri11_TEL">DATA!$F$754</definedName>
    <definedName name="cst_wskakunin_kanri11_TOUROKU_KIKAN">DATA!$F$744</definedName>
    <definedName name="cst_wskakunin_kanri11_ZIP">DATA!$F$752</definedName>
    <definedName name="cst_wskakunin_kanri12__address">DATA!$F$769</definedName>
    <definedName name="cst_wskakunin_kanri12__sikaku">DATA!$F$758</definedName>
    <definedName name="cst_wskakunin_kanri12_DOC">DATA!$F$771</definedName>
    <definedName name="cst_wskakunin_kanri12_JIMU__sikaku">DATA!$F$763</definedName>
    <definedName name="cst_wskakunin_kanri12_JIMU_NAME">DATA!$F$767</definedName>
    <definedName name="cst_wskakunin_kanri12_JIMU_NO">DATA!$F$766</definedName>
    <definedName name="cst_wskakunin_kanri12_JIMU_SIKAKU">DATA!$F$764</definedName>
    <definedName name="cst_wskakunin_kanri12_JIMU_TOUROKU_KIKAN">DATA!$F$765</definedName>
    <definedName name="cst_wskakunin_kanri12_KENTIKUSI_NO">DATA!$F$761</definedName>
    <definedName name="cst_wskakunin_kanri12_NAME">DATA!$F$762</definedName>
    <definedName name="cst_wskakunin_kanri12_SIKAKU">DATA!$F$759</definedName>
    <definedName name="cst_wskakunin_kanri12_TEL">DATA!$F$770</definedName>
    <definedName name="cst_wskakunin_kanri12_TOUROKU_KIKAN">DATA!$F$760</definedName>
    <definedName name="cst_wskakunin_kanri12_ZIP">DATA!$F$768</definedName>
    <definedName name="cst_wskakunin_kanri2__address">DATA!$F$609</definedName>
    <definedName name="cst_wskakunin_kanri2__sikaku">DATA!$F$598</definedName>
    <definedName name="cst_wskakunin_kanri2_DOC">DATA!$F$611</definedName>
    <definedName name="cst_wskakunin_kanri2_JIMU">DATA!$F$603</definedName>
    <definedName name="cst_wskakunin_kanri2_JIMU_NAME">DATA!$F$607</definedName>
    <definedName name="cst_wskakunin_kanri2_JIMU_NO">DATA!$F$606</definedName>
    <definedName name="cst_wskakunin_kanri2_JIMU_SIKAKU">DATA!$F$604</definedName>
    <definedName name="cst_wskakunin_kanri2_JIMU_TOUROKU_KIKAN">DATA!$F$605</definedName>
    <definedName name="cst_wskakunin_kanri2_KENTIKUSI_NO">DATA!$F$601</definedName>
    <definedName name="cst_wskakunin_kanri2_NAME">DATA!$F$602</definedName>
    <definedName name="cst_wskakunin_kanri2_SIKAKU">DATA!$F$599</definedName>
    <definedName name="cst_wskakunin_kanri2_TEL">DATA!$F$610</definedName>
    <definedName name="cst_wskakunin_kanri2_TOUROKU_KIKAN">DATA!$F$600</definedName>
    <definedName name="cst_wskakunin_kanri2_ZIP">DATA!$F$608</definedName>
    <definedName name="cst_wskakunin_kanri3__address">DATA!$F$625</definedName>
    <definedName name="cst_wskakunin_kanri3__sikaku">DATA!$F$614</definedName>
    <definedName name="cst_wskakunin_kanri3_DOC">DATA!$F$627</definedName>
    <definedName name="cst_wskakunin_kanri3_JIMU__sikaku">DATA!$F$619</definedName>
    <definedName name="cst_wskakunin_kanri3_JIMU_NAME">DATA!$F$623</definedName>
    <definedName name="cst_wskakunin_kanri3_JIMU_NO">DATA!$F$622</definedName>
    <definedName name="cst_wskakunin_kanri3_JIMU_SIKAKU">DATA!$F$620</definedName>
    <definedName name="cst_wskakunin_kanri3_JIMU_TOUROKU_KIKAN">DATA!$F$621</definedName>
    <definedName name="cst_wskakunin_kanri3_KENTIKUSI_NO">DATA!$F$617</definedName>
    <definedName name="cst_wskakunin_kanri3_NAME">DATA!$F$618</definedName>
    <definedName name="cst_wskakunin_kanri3_SIKAKU">DATA!$F$615</definedName>
    <definedName name="cst_wskakunin_kanri3_TEL">DATA!$F$626</definedName>
    <definedName name="cst_wskakunin_kanri3_TOUROKU_KIKAN">DATA!$F$616</definedName>
    <definedName name="cst_wskakunin_kanri3_ZIP">DATA!$F$624</definedName>
    <definedName name="cst_wskakunin_kanri4__address">DATA!$F$641</definedName>
    <definedName name="cst_wskakunin_kanri4__sikaku">DATA!$F$630</definedName>
    <definedName name="cst_wskakunin_kanri4_DOC">DATA!$F$643</definedName>
    <definedName name="cst_wskakunin_kanri4_JIMU__sikaku">DATA!$F$635</definedName>
    <definedName name="cst_wskakunin_kanri4_JIMU_NAME">DATA!$F$639</definedName>
    <definedName name="cst_wskakunin_kanri4_JIMU_NO">DATA!$F$638</definedName>
    <definedName name="cst_wskakunin_kanri4_JIMU_SIKAKU">DATA!$F$636</definedName>
    <definedName name="cst_wskakunin_kanri4_JIMU_TOUROKU_KIKAN">DATA!$F$637</definedName>
    <definedName name="cst_wskakunin_kanri4_KENTIKUSI_NO">DATA!$F$633</definedName>
    <definedName name="cst_wskakunin_kanri4_NAME">DATA!$F$634</definedName>
    <definedName name="cst_wskakunin_kanri4_SIKAKU">DATA!$F$631</definedName>
    <definedName name="cst_wskakunin_kanri4_TEL">DATA!$F$642</definedName>
    <definedName name="cst_wskakunin_kanri4_TOUROKU_KIKAN">DATA!$F$632</definedName>
    <definedName name="cst_wskakunin_kanri4_ZIP">DATA!$F$640</definedName>
    <definedName name="cst_wskakunin_kanri5__address">DATA!$F$657</definedName>
    <definedName name="cst_wskakunin_kanri5__sikaku">DATA!$F$646</definedName>
    <definedName name="cst_wskakunin_kanri5_DOC">DATA!$F$659</definedName>
    <definedName name="cst_wskakunin_kanri5_JIMU__sikaku">DATA!$F$651</definedName>
    <definedName name="cst_wskakunin_kanri5_JIMU_NAME">DATA!$F$655</definedName>
    <definedName name="cst_wskakunin_kanri5_JIMU_NO">DATA!$F$654</definedName>
    <definedName name="cst_wskakunin_kanri5_JIMU_SIKAKU">DATA!$F$652</definedName>
    <definedName name="cst_wskakunin_kanri5_JIMU_TOUROKU_KIKAN">DATA!$F$653</definedName>
    <definedName name="cst_wskakunin_kanri5_KENTIKUSI_NO">DATA!$F$649</definedName>
    <definedName name="cst_wskakunin_kanri5_NAME">DATA!$F$650</definedName>
    <definedName name="cst_wskakunin_kanri5_SIKAKU">DATA!$F$647</definedName>
    <definedName name="cst_wskakunin_kanri5_TEL">DATA!$F$658</definedName>
    <definedName name="cst_wskakunin_kanri5_TOUROKU_KIKAN">DATA!$F$648</definedName>
    <definedName name="cst_wskakunin_kanri5_ZIP">DATA!$F$656</definedName>
    <definedName name="cst_wskakunin_kanri6__address">DATA!$F$673</definedName>
    <definedName name="cst_wskakunin_kanri6__sikaku">DATA!$F$662</definedName>
    <definedName name="cst_wskakunin_kanri6_DOC">DATA!$F$675</definedName>
    <definedName name="cst_wskakunin_kanri6_JIMU__sikaku">DATA!$F$667</definedName>
    <definedName name="cst_wskakunin_kanri6_JIMU_NAME">DATA!$F$671</definedName>
    <definedName name="cst_wskakunin_kanri6_JIMU_NO">DATA!$F$670</definedName>
    <definedName name="cst_wskakunin_kanri6_JIMU_SIKAKU">DATA!$F$668</definedName>
    <definedName name="cst_wskakunin_kanri6_JIMU_TOUROKU_KIKAN">DATA!$F$669</definedName>
    <definedName name="cst_wskakunin_kanri6_KENTIKUSI_NO">DATA!$F$665</definedName>
    <definedName name="cst_wskakunin_kanri6_NAME">DATA!$F$666</definedName>
    <definedName name="cst_wskakunin_kanri6_SIKAKU">DATA!$F$663</definedName>
    <definedName name="cst_wskakunin_kanri6_TEL">DATA!$F$674</definedName>
    <definedName name="cst_wskakunin_kanri6_TOUROKU_KIKAN">DATA!$F$664</definedName>
    <definedName name="cst_wskakunin_kanri6_ZIP">DATA!$F$672</definedName>
    <definedName name="cst_wskakunin_kanri7__address">DATA!$F$689</definedName>
    <definedName name="cst_wskakunin_kanri7__sikaku">DATA!$F$678</definedName>
    <definedName name="cst_wskakunin_kanri7_DOC">DATA!$F$691</definedName>
    <definedName name="cst_wskakunin_kanri7_JIMU__sikaku">DATA!$F$683</definedName>
    <definedName name="cst_wskakunin_kanri7_JIMU_NAME">DATA!$F$687</definedName>
    <definedName name="cst_wskakunin_kanri7_JIMU_NO">DATA!$F$686</definedName>
    <definedName name="cst_wskakunin_kanri7_JIMU_SIKAKU">DATA!$F$684</definedName>
    <definedName name="cst_wskakunin_kanri7_JIMU_TOUROKU_KIKAN">DATA!$F$685</definedName>
    <definedName name="cst_wskakunin_kanri7_KENTIKUSI_NO">DATA!$F$681</definedName>
    <definedName name="cst_wskakunin_kanri7_NAME">DATA!$F$682</definedName>
    <definedName name="cst_wskakunin_kanri7_SIKAKU">DATA!$F$679</definedName>
    <definedName name="cst_wskakunin_kanri7_TEL">DATA!$F$690</definedName>
    <definedName name="cst_wskakunin_kanri7_TOUROKU_KIKAN">DATA!$F$680</definedName>
    <definedName name="cst_wskakunin_kanri7_ZIP">DATA!$F$688</definedName>
    <definedName name="cst_wskakunin_kanri8__address">DATA!$F$705</definedName>
    <definedName name="cst_wskakunin_kanri8__sikaku">DATA!$F$694</definedName>
    <definedName name="cst_wskakunin_kanri8_DOC">DATA!$F$707</definedName>
    <definedName name="cst_wskakunin_kanri8_JIMU__sikaku">DATA!$F$699</definedName>
    <definedName name="cst_wskakunin_kanri8_JIMU_NAME">DATA!$F$703</definedName>
    <definedName name="cst_wskakunin_kanri8_JIMU_NO">DATA!$F$702</definedName>
    <definedName name="cst_wskakunin_kanri8_JIMU_SIKAKU">DATA!$F$700</definedName>
    <definedName name="cst_wskakunin_kanri8_JIMU_TOUROKU_KIKAN">DATA!$F$701</definedName>
    <definedName name="cst_wskakunin_kanri8_KENTIKUSI_NO">DATA!$F$697</definedName>
    <definedName name="cst_wskakunin_kanri8_NAME">DATA!$F$698</definedName>
    <definedName name="cst_wskakunin_kanri8_SIKAKU">DATA!$F$695</definedName>
    <definedName name="cst_wskakunin_kanri8_TEL">DATA!$F$706</definedName>
    <definedName name="cst_wskakunin_kanri8_TOUROKU_KIKAN">DATA!$F$696</definedName>
    <definedName name="cst_wskakunin_kanri8_ZIP">DATA!$F$704</definedName>
    <definedName name="cst_wskakunin_kanri9__address">DATA!$F$721</definedName>
    <definedName name="cst_wskakunin_kanri9__sikaku">DATA!$F$710</definedName>
    <definedName name="cst_wskakunin_kanri9_DOC">DATA!$F$723</definedName>
    <definedName name="cst_wskakunin_kanri9_JIMU__sikaku">DATA!$F$715</definedName>
    <definedName name="cst_wskakunin_kanri9_JIMU_NAME">DATA!$F$719</definedName>
    <definedName name="cst_wskakunin_kanri9_JIMU_NO">DATA!$F$718</definedName>
    <definedName name="cst_wskakunin_kanri9_JIMU_SIKAKU">DATA!$F$716</definedName>
    <definedName name="cst_wskakunin_kanri9_JIMU_TOUROKU_KIKAN">DATA!$F$717</definedName>
    <definedName name="cst_wskakunin_kanri9_KENTIKUSI_NO">DATA!$F$713</definedName>
    <definedName name="cst_wskakunin_kanri9_NAME">DATA!$F$714</definedName>
    <definedName name="cst_wskakunin_kanri9_SIKAKU">DATA!$F$711</definedName>
    <definedName name="cst_wskakunin_kanri9_TEL">DATA!$F$722</definedName>
    <definedName name="cst_wskakunin_kanri9_TOUROKU_KIKAN">DATA!$F$712</definedName>
    <definedName name="cst_wskakunin_kanri9_ZIP">DATA!$F$720</definedName>
    <definedName name="cst_wskakunin_keibi_henkou01_HENKOU_GAIYOU">DATA!$F$1293</definedName>
    <definedName name="cst_wskakunin_keibi_henkou01_HENKOU_SYURUI">DATA!$F$1292</definedName>
    <definedName name="cst_wskakunin_KENPEI_RITU">DATA!$F$1015</definedName>
    <definedName name="cst_wskakunin_KENPEI_RITU_A">DATA!$F$954</definedName>
    <definedName name="cst_wskakunin_KENPEI_RITU_B">DATA!$F$955</definedName>
    <definedName name="cst_wskakunin_KENPEI_RITU_C">DATA!$F$956</definedName>
    <definedName name="cst_wskakunin_KENPEI_RITU_D">DATA!$F$957</definedName>
    <definedName name="cst_wskakunin_KENSA_YUKA_MENSEKI_select">DATA!$F$1201</definedName>
    <definedName name="cst_wskakunin_KENTIKU_MENSEKI_IGAI">DATA!$F$1013</definedName>
    <definedName name="cst_wskakunin_KENTIKU_MENSEKI_SHINSEI">DATA!$F$1012</definedName>
    <definedName name="cst_wskakunin_KENTIKU_MENSEKI_TOTAL">DATA!$F$1014</definedName>
    <definedName name="cst_wskakunin_KENTIKU_NINSYO_NO">DATA!$F$1189</definedName>
    <definedName name="cst_wskakunin_KIKAN_NAME">DATA!$F$54</definedName>
    <definedName name="cst_wskakunin_KOUJI_DAI_MOYOUGAE_box">DATA!$F$978</definedName>
    <definedName name="cst_wskakunin_KOUJI_DAI_SYUUZEN_box">DATA!$F$977</definedName>
    <definedName name="cst_wskakunin_KOUJI_ITEN_box">DATA!$F$975</definedName>
    <definedName name="cst_wskakunin_KOUJI_KAITIKU_box">DATA!$F$974</definedName>
    <definedName name="cst_wskakunin_KOUJI_KANRYOU_DATE_select">DATA!$F$1296</definedName>
    <definedName name="cst_wskakunin_KOUJI_KANRYOU_YOTEI_DATE">DATA!$F$1143</definedName>
    <definedName name="cst_wskakunin_KOUJI_KANRYOU_YOTEI_DATE_select">DATA!$F$1194</definedName>
    <definedName name="cst_wskakunin_KOUJI_SETUBI_box">DATA!$F$979</definedName>
    <definedName name="cst_wskakunin_KOUJI_SINTIKU_box">DATA!$F$972</definedName>
    <definedName name="cst_wskakunin_KOUJI_TYAKUSYU_DATE_select">DATA!$F$1191</definedName>
    <definedName name="cst_wskakunin_KOUJI_TYAKUSYU_YOTEI_DATE">DATA!$F$1141</definedName>
    <definedName name="cst_wskakunin_KOUJI_YOUTOHENKOU_box">DATA!$F$976</definedName>
    <definedName name="cst_wskakunin_KOUJI_zoukaitiku_box">DATA!$F$980</definedName>
    <definedName name="cst_wskakunin_KOUJI_ZOUTIKU_box">DATA!$F$973</definedName>
    <definedName name="cst_wskakunin_koutei_ikou01_KOUTEI_DATE">DATA!$F$1264</definedName>
    <definedName name="cst_wskakunin_koutei_ikou01_KOUTEI_DATE_inter1">DATA!$F$1274</definedName>
    <definedName name="cst_wskakunin_koutei_ikou01_KOUTEI_DATE_inter2">DATA!$F$1279</definedName>
    <definedName name="cst_wskakunin_koutei_ikou01_KOUTEI_KAISUU">DATA!$F$1262</definedName>
    <definedName name="cst_wskakunin_koutei_ikou01_KOUTEI_KAISUU_inter1">DATA!$F$1272</definedName>
    <definedName name="cst_wskakunin_koutei_ikou01_KOUTEI_KAISUU_inter2">DATA!$F$1277</definedName>
    <definedName name="cst_wskakunin_koutei_ikou01_KOUTEI_TEXT">DATA!$F$1263</definedName>
    <definedName name="cst_wskakunin_koutei_ikou01_KOUTEI_TEXT_inter1">DATA!$F$1273</definedName>
    <definedName name="cst_wskakunin_koutei_ikou01_KOUTEI_TEXT_inter2">DATA!$F$1278</definedName>
    <definedName name="cst_wskakunin_koutei_ikou02_KOUTEI_DATE">DATA!$F$1269</definedName>
    <definedName name="cst_wskakunin_koutei_ikou02_KOUTEI_DATE_inter1">DATA!$F$1284</definedName>
    <definedName name="cst_wskakunin_koutei_ikou02_KOUTEI_DATE_inter2">DATA!$F$1289</definedName>
    <definedName name="cst_wskakunin_koutei_ikou02_KOUTEI_KAISUU">DATA!$F$1267</definedName>
    <definedName name="cst_wskakunin_koutei_ikou02_KOUTEI_KAISUU_inter1">DATA!$F$1282</definedName>
    <definedName name="cst_wskakunin_koutei_ikou02_KOUTEI_KAISUU_inter2">DATA!$F$1287</definedName>
    <definedName name="cst_wskakunin_koutei_ikou02_KOUTEI_TEXT">DATA!$F$1268</definedName>
    <definedName name="cst_wskakunin_koutei_ikou02_KOUTEI_TEXT_inter1">DATA!$F$1283</definedName>
    <definedName name="cst_wskakunin_koutei_ikou02_KOUTEI_TEXT_inter2">DATA!$F$1288</definedName>
    <definedName name="cst_wskakunin_koutei_izen01_INTER_ISSUE_DATE">DATA!$F$1209</definedName>
    <definedName name="cst_wskakunin_koutei_izen01_INTER_ISSUE_DATE_inter1">DATA!$F$1237</definedName>
    <definedName name="cst_wskakunin_koutei_izen01_INTER_ISSUE_DATE_inter2">DATA!$F$1244</definedName>
    <definedName name="cst_wskakunin_koutei_izen01_INTER_ISSUE_NAME">DATA!$F$1207</definedName>
    <definedName name="cst_wskakunin_koutei_izen01_INTER_ISSUE_NAME_inter1">DATA!$F$1235</definedName>
    <definedName name="cst_wskakunin_koutei_izen01_INTER_ISSUE_NAME_inter2">DATA!$F$1242</definedName>
    <definedName name="cst_wskakunin_koutei_izen01_INTER_ISSUE_NO">DATA!$F$1208</definedName>
    <definedName name="cst_wskakunin_koutei_izen01_INTER_ISSUE_NO_inter1">DATA!$F$1236</definedName>
    <definedName name="cst_wskakunin_koutei_izen01_INTER_ISSUE_NO_inter2">DATA!$F$1243</definedName>
    <definedName name="cst_wskakunin_koutei_izen01_KOUTEI_KAISUU">DATA!$F$1205</definedName>
    <definedName name="cst_wskakunin_koutei_izen01_KOUTEI_KAISUU_inter1">DATA!$F$1233</definedName>
    <definedName name="cst_wskakunin_koutei_izen01_KOUTEI_KAISUU_inter2">DATA!$F$1240</definedName>
    <definedName name="cst_wskakunin_koutei_izen01_KOUTEI_TEXT">DATA!$F$1206</definedName>
    <definedName name="cst_wskakunin_koutei_izen01_KOUTEI_TEXT_inter1">DATA!$F$1234</definedName>
    <definedName name="cst_wskakunin_koutei_izen01_KOUTEI_TEXT_inter2">DATA!$F$1241</definedName>
    <definedName name="cst_wskakunin_koutei_izen02_INTER_ISSUE_DATE">DATA!$F$1216</definedName>
    <definedName name="cst_wskakunin_koutei_izen02_INTER_ISSUE_DATE_inter1">DATA!$F$1251</definedName>
    <definedName name="cst_wskakunin_koutei_izen02_INTER_ISSUE_DATE_inter2">DATA!$F$1258</definedName>
    <definedName name="cst_wskakunin_koutei_izen02_INTER_ISSUE_NAME">DATA!$F$1214</definedName>
    <definedName name="cst_wskakunin_koutei_izen02_INTER_ISSUE_NAME_inter1">DATA!$F$1249</definedName>
    <definedName name="cst_wskakunin_koutei_izen02_INTER_ISSUE_NAME_inter2">DATA!$F$1256</definedName>
    <definedName name="cst_wskakunin_koutei_izen02_INTER_ISSUE_NO">DATA!$F$1215</definedName>
    <definedName name="cst_wskakunin_koutei_izen02_INTER_ISSUE_NO_inter1">DATA!$F$1250</definedName>
    <definedName name="cst_wskakunin_koutei_izen02_INTER_ISSUE_NO_inter2">DATA!$F$1257</definedName>
    <definedName name="cst_wskakunin_koutei_izen02_KOUTEI_KAISUU">DATA!$F$1212</definedName>
    <definedName name="cst_wskakunin_koutei_izen02_KOUTEI_KAISUU_inter1">DATA!$F$1247</definedName>
    <definedName name="cst_wskakunin_koutei_izen02_KOUTEI_KAISUU_inter2">DATA!$F$1254</definedName>
    <definedName name="cst_wskakunin_koutei_izen02_KOUTEI_TEXT">DATA!$F$1213</definedName>
    <definedName name="cst_wskakunin_koutei_izen02_KOUTEI_TEXT_inter1">DATA!$F$1248</definedName>
    <definedName name="cst_wskakunin_koutei_izen02_KOUTEI_TEXT_inter2">DATA!$F$1255</definedName>
    <definedName name="cst_wskakunin_koutei_izen03_INTER_ISSUE_DATE">DATA!$F$1223</definedName>
    <definedName name="cst_wskakunin_koutei_izen03_INTER_ISSUE_NAME">DATA!$F$1221</definedName>
    <definedName name="cst_wskakunin_koutei_izen03_INTER_ISSUE_NO">DATA!$F$1222</definedName>
    <definedName name="cst_wskakunin_koutei_izen03_KOUTEI_KAISUU">DATA!$F$1219</definedName>
    <definedName name="cst_wskakunin_koutei_izen03_KOUTEI_TEXT">DATA!$F$1220</definedName>
    <definedName name="cst_wskakunin_koutei_izen04_INTER_ISSUE_DATE">DATA!$F$1230</definedName>
    <definedName name="cst_wskakunin_koutei_izen04_INTER_ISSUE_NAME">DATA!$F$1228</definedName>
    <definedName name="cst_wskakunin_koutei_izen04_INTER_ISSUE_NO">DATA!$F$1229</definedName>
    <definedName name="cst_wskakunin_koutei_izen04_KOUTEI_KAISUU">DATA!$F$1226</definedName>
    <definedName name="cst_wskakunin_koutei_izen04_KOUTEI_TEXT">DATA!$F$1227</definedName>
    <definedName name="cst_wskakunin_koutei_keika01_INTER_ISSUE_DATE_select">DATA!$F$1310</definedName>
    <definedName name="cst_wskakunin_koutei_keika01_INTER_ISSUE_NAME_select">DATA!$F$1308</definedName>
    <definedName name="cst_wskakunin_koutei_keika01_INTER_ISSUE_NO_select">DATA!$F$1309</definedName>
    <definedName name="cst_wskakunin_koutei_keika01_KOUTEI_KAISUU_select">DATA!$F$1306</definedName>
    <definedName name="cst_wskakunin_koutei_keika01_KOUTEI_TEXT_select">DATA!$F$1307</definedName>
    <definedName name="cst_wskakunin_koutei_keika02_INTER_ISSUE_DATE_select">DATA!$F$1325</definedName>
    <definedName name="cst_wskakunin_koutei_keika02_INTER_ISSUE_NAME_select">DATA!$F$1323</definedName>
    <definedName name="cst_wskakunin_koutei_keika02_INTER_ISSUE_NO_select">DATA!$F$1324</definedName>
    <definedName name="cst_wskakunin_koutei_keika02_KOUTEI_KAISUU_select">DATA!$F$1321</definedName>
    <definedName name="cst_wskakunin_koutei_keika02_KOUTEI_TEXT_select">DATA!$F$1322</definedName>
    <definedName name="cst_wskakunin_koutei01_INTER_ISSUE_DATE">DATA!$F$1303</definedName>
    <definedName name="cst_wskakunin_koutei01_INTER_ISSUE_NAME">DATA!$F$1301</definedName>
    <definedName name="cst_wskakunin_koutei01_INTER_ISSUE_NO">DATA!$F$1302</definedName>
    <definedName name="cst_wskakunin_koutei01_KOUTEI_DATE">DATA!$F$1152</definedName>
    <definedName name="cst_wskakunin_koutei01_KOUTEI_KAISUU">DATA!$F$1151</definedName>
    <definedName name="cst_wskakunin_koutei01_KOUTEI_TEXT">DATA!$F$1153</definedName>
    <definedName name="cst_wskakunin_koutei02_INTER_ISSUE_DATE">DATA!$F$1317</definedName>
    <definedName name="cst_wskakunin_koutei02_INTER_ISSUE_NAME">DATA!$F$1315</definedName>
    <definedName name="cst_wskakunin_koutei02_INTER_ISSUE_NO">DATA!$F$1316</definedName>
    <definedName name="cst_wskakunin_koutei02_KOUTEI_DATE">DATA!$F$1157</definedName>
    <definedName name="cst_wskakunin_koutei02_KOUTEI_KAISUU">DATA!$F$1156</definedName>
    <definedName name="cst_wskakunin_koutei02_KOUTEI_TEXT">DATA!$F$1158</definedName>
    <definedName name="cst_wskakunin_koutei03_KOUTEI_DATE">DATA!$F$1162</definedName>
    <definedName name="cst_wskakunin_koutei03_KOUTEI_KAISUU">DATA!$F$1161</definedName>
    <definedName name="cst_wskakunin_koutei03_KOUTEI_TEXT">DATA!$F$1163</definedName>
    <definedName name="cst_wskakunin_koutei04_KOUTEI_DATE">DATA!$F$1167</definedName>
    <definedName name="cst_wskakunin_koutei04_KOUTEI_KAISUU">DATA!$F$1166</definedName>
    <definedName name="cst_wskakunin_koutei04_KOUTEI_TEXT">DATA!$F$1168</definedName>
    <definedName name="cst_wskakunin_KOUZOU">DATA!$F$1103</definedName>
    <definedName name="cst_wskakunin_KOUZOU_mokuzou">DATA!$F$1101</definedName>
    <definedName name="cst_wskakunin_KOUZOU_zairai">DATA!$F$1102</definedName>
    <definedName name="cst_wskakunin_KOUZOU1">DATA!$F$1099</definedName>
    <definedName name="cst_wskakunin_KOUZOU2">DATA!$F$1100</definedName>
    <definedName name="cst_wskakunin_KUIKI_HISETTEI">DATA!$F$917</definedName>
    <definedName name="cst_wskakunin_KUIKI_JYUN_TOSHI">DATA!$F$918</definedName>
    <definedName name="cst_wskakunin_KUIKI_KUIKIGAI">DATA!$F$919</definedName>
    <definedName name="cst_wskakunin_KUIKI_SIGAIKA">DATA!$F$914</definedName>
    <definedName name="cst_wskakunin_KUIKI_TOSI">DATA!$F$911</definedName>
    <definedName name="cst_wskakunin_KUIKI_TYOSEI">DATA!$F$916</definedName>
    <definedName name="cst_wskakunin_kyoka_HOUREI_all">DATA!$F$1139</definedName>
    <definedName name="cst_wskakunin_kyoka01_BIKOU">DATA!$F$1120</definedName>
    <definedName name="cst_wskakunin_kyoka01_HOUREI">DATA!$F$1116</definedName>
    <definedName name="cst_wskakunin_kyoka01_JOUKOU">DATA!$F$1117</definedName>
    <definedName name="cst_wskakunin_kyoka01_KYOKA_DATE">DATA!$F$1119</definedName>
    <definedName name="cst_wskakunin_kyoka01_KYOKA_NO">DATA!$F$1118</definedName>
    <definedName name="cst_wskakunin_kyoka02_BIKOU">DATA!$F$1128</definedName>
    <definedName name="cst_wskakunin_kyoka02_HOUREI">DATA!$F$1124</definedName>
    <definedName name="cst_wskakunin_kyoka02_JOUKOU">DATA!$F$1125</definedName>
    <definedName name="cst_wskakunin_kyoka02_KYOKA_DATE">DATA!$F$1127</definedName>
    <definedName name="cst_wskakunin_kyoka02_KYOKA_NO">DATA!$F$1126</definedName>
    <definedName name="cst_wskakunin_kyoka03_BIKOU">DATA!$F$1136</definedName>
    <definedName name="cst_wskakunin_kyoka03_HOUREI">DATA!$F$1132</definedName>
    <definedName name="cst_wskakunin_kyoka03_JOUKOU">DATA!$F$1133</definedName>
    <definedName name="cst_wskakunin_kyoka03_KYOKA_DATE">DATA!$F$1135</definedName>
    <definedName name="cst_wskakunin_kyoka03_KYOKA_NO">DATA!$F$1134</definedName>
    <definedName name="cst_wskakunin_LAST_ISSUE_DATE">DATA!$F$59</definedName>
    <definedName name="cst_wskakunin_LAST_ISSUE_NAME">DATA!$F$60</definedName>
    <definedName name="cst_wskakunin_LAST_ISSUE_NO">DATA!$F$58</definedName>
    <definedName name="cst_wskakunin_LIMIT_KENPEI_RITU">DATA!$F$962</definedName>
    <definedName name="cst_wskakunin_LIMIT_YOUSEKI_RITU">DATA!$F$961</definedName>
    <definedName name="cst_wskakunin_NOBE_MENSEKI">DATA!$F$1079</definedName>
    <definedName name="cst_wskakunin_NOBE_MENSEKI_BITIKUSOUKO_IGAI">DATA!$F$1045</definedName>
    <definedName name="cst_wskakunin_NOBE_MENSEKI_BITIKUSOUKO_SHINSEI">DATA!$F$1044</definedName>
    <definedName name="cst_wskakunin_NOBE_MENSEKI_BITIKUSOUKO_TOTAL">DATA!$F$1046</definedName>
    <definedName name="cst_wskakunin_NOBE_MENSEKI_BUILD_IGAI">DATA!$F$1020</definedName>
    <definedName name="cst_wskakunin_NOBE_MENSEKI_BUILD_SHINSEI">DATA!$F$1019</definedName>
    <definedName name="cst_wskakunin_NOBE_MENSEKI_BUILD_TOTAL">DATA!$F$1021</definedName>
    <definedName name="cst_wskakunin_NOBE_MENSEKI_CHOSUISOU_IGAI">DATA!$F$1060</definedName>
    <definedName name="cst_wskakunin_NOBE_MENSEKI_CHOSUISOU_SHINSEI">DATA!$F$1059</definedName>
    <definedName name="cst_wskakunin_NOBE_MENSEKI_CHOSUISOU_TOTAL">DATA!$F$1061</definedName>
    <definedName name="cst_wskakunin_NOBE_MENSEKI_JIKAHATUDEN_IGAI">DATA!$F$1055</definedName>
    <definedName name="cst_wskakunin_NOBE_MENSEKI_JIKAHATUDEN_SHINSEI">DATA!$F$1054</definedName>
    <definedName name="cst_wskakunin_NOBE_MENSEKI_JIKAHATUDEN_TOTAL">DATA!$F$1056</definedName>
    <definedName name="cst_wskakunin_NOBE_MENSEKI_JYUTAKU_IGAI">DATA!$F$1070</definedName>
    <definedName name="cst_wskakunin_NOBE_MENSEKI_JYUTAKU_SHINSEI">DATA!$F$1069</definedName>
    <definedName name="cst_wskakunin_NOBE_MENSEKI_JYUTAKU_TOTAL">DATA!$F$1071</definedName>
    <definedName name="cst_wskakunin_NOBE_MENSEKI_KYOYOU_IGAI">DATA!$F$1035</definedName>
    <definedName name="cst_wskakunin_NOBE_MENSEKI_KYOYOU_SHINSEI">DATA!$F$1034</definedName>
    <definedName name="cst_wskakunin_NOBE_MENSEKI_KYOYOU_TOTAL">DATA!$F$1036</definedName>
    <definedName name="cst_wskakunin_NOBE_MENSEKI_ROUJIN_IGAI">DATA!$F$1075</definedName>
    <definedName name="cst_wskakunin_NOBE_MENSEKI_ROUJIN_SHINSEI">DATA!$F$1074</definedName>
    <definedName name="cst_wskakunin_NOBE_MENSEKI_ROUJIN_TOTAL">DATA!$F$1076</definedName>
    <definedName name="cst_wskakunin_NOBE_MENSEKI_SYAKO_IGAI">DATA!$F$1040</definedName>
    <definedName name="cst_wskakunin_NOBE_MENSEKI_SYAKO_SHINSEI">DATA!$F$1039</definedName>
    <definedName name="cst_wskakunin_NOBE_MENSEKI_SYAKO_TOTAL">DATA!$F$1041</definedName>
    <definedName name="cst_wskakunin_NOBE_MENSEKI_SYOUKOURO_IGAI">DATA!$F$1030</definedName>
    <definedName name="cst_wskakunin_NOBE_MENSEKI_SYOUKOURO_SHINSEI">DATA!$F$1029</definedName>
    <definedName name="cst_wskakunin_NOBE_MENSEKI_SYOUKOURO_TOTAL">DATA!$F$1031</definedName>
    <definedName name="cst_wskakunin_NOBE_MENSEKI_TAKUHAI_IGAI">DATA!$F$1065</definedName>
    <definedName name="cst_wskakunin_NOBE_MENSEKI_TAKUHAI_SHINSEI">DATA!$F$1064</definedName>
    <definedName name="cst_wskakunin_NOBE_MENSEKI_TAKUHAI_TOTAL">DATA!$F$1066</definedName>
    <definedName name="cst_wskakunin_NOBE_MENSEKI_TIKAI_IGAI">DATA!$F$1025</definedName>
    <definedName name="cst_wskakunin_NOBE_MENSEKI_TIKAI_SHINSEI">DATA!$F$1024</definedName>
    <definedName name="cst_wskakunin_NOBE_MENSEKI_TIKAI_TOTAL">DATA!$F$1026</definedName>
    <definedName name="cst_wskakunin_NOBE_MENSEKI_TIKUDENTI_IGAI">DATA!$F$1050</definedName>
    <definedName name="cst_wskakunin_NOBE_MENSEKI_TIKUDENTI_SHINSEI">DATA!$F$1049</definedName>
    <definedName name="cst_wskakunin_NOBE_MENSEKI_TIKUDENTI_TOTAL">DATA!$F$1051</definedName>
    <definedName name="cst_wskakunin_owner1__address">DATA!$F$84</definedName>
    <definedName name="cst_wskakunin_owner1__line1">DATA!$F$90</definedName>
    <definedName name="cst_wskakunin_owner1__line2">DATA!$F$91</definedName>
    <definedName name="cst_wskakunin_owner1__space">DATA!$F$86</definedName>
    <definedName name="cst_wskakunin_owner1__space_KANA">DATA!$F$80</definedName>
    <definedName name="cst_wskakunin_owner1__space_KANA2">DATA!$F$81</definedName>
    <definedName name="cst_wskakunin_owner1__space2">DATA!$F$87</definedName>
    <definedName name="cst_wskakunin_owner1__space3">DATA!$F$88</definedName>
    <definedName name="cst_wskakunin_owner1__space4">DATA!$F$89</definedName>
    <definedName name="cst_wskakunin_owner1_JIMU_NAME">DATA!$F$74</definedName>
    <definedName name="cst_wskakunin_owner1_JIMU_NAME_KANA">DATA!$F$75</definedName>
    <definedName name="cst_wskakunin_owner1_NAME">DATA!$F$78</definedName>
    <definedName name="cst_wskakunin_owner1_NAME_KANA">DATA!$F$79</definedName>
    <definedName name="cst_wskakunin_owner1_POST">DATA!$F$76</definedName>
    <definedName name="cst_wskakunin_owner1_POST_KANA">DATA!$F$77</definedName>
    <definedName name="cst_wskakunin_owner1_TEL">DATA!$F$85</definedName>
    <definedName name="cst_wskakunin_owner1_ZIP">DATA!$F$82</definedName>
    <definedName name="cst_wskakunin_owner1_ZIP2">DATA!$F$83</definedName>
    <definedName name="cst_wskakunin_owner2__address">DATA!$F$101</definedName>
    <definedName name="cst_wskakunin_owner2__space">DATA!$F$103</definedName>
    <definedName name="cst_wskakunin_owner2__space2">DATA!$F$104</definedName>
    <definedName name="cst_wskakunin_owner2__space3">DATA!$F$105</definedName>
    <definedName name="cst_wskakunin_owner2_JIMU_NAME">DATA!$F$94</definedName>
    <definedName name="cst_wskakunin_owner2_JIMU_NAME_KANA">DATA!$F$95</definedName>
    <definedName name="cst_wskakunin_owner2_NAME">DATA!$F$98</definedName>
    <definedName name="cst_wskakunin_owner2_NAME_KANA">DATA!$F$99</definedName>
    <definedName name="cst_wskakunin_owner2_POST">DATA!$F$96</definedName>
    <definedName name="cst_wskakunin_owner2_POST_KANA">DATA!$F$97</definedName>
    <definedName name="cst_wskakunin_owner2_TEL">DATA!$F$102</definedName>
    <definedName name="cst_wskakunin_owner2_ZIP">DATA!$F$100</definedName>
    <definedName name="cst_wskakunin_owner3__address">DATA!$F$115</definedName>
    <definedName name="cst_wskakunin_owner3__space">DATA!$F$117</definedName>
    <definedName name="cst_wskakunin_owner3__space2">DATA!$F$118</definedName>
    <definedName name="cst_wskakunin_owner3_JIMU_NAME">DATA!$F$108</definedName>
    <definedName name="cst_wskakunin_owner3_JIMU_NAME_KANA">DATA!$F$109</definedName>
    <definedName name="cst_wskakunin_owner3_NAME">DATA!$F$112</definedName>
    <definedName name="cst_wskakunin_owner3_NAME_KANA">DATA!$F$113</definedName>
    <definedName name="cst_wskakunin_owner3_POST">DATA!$F$110</definedName>
    <definedName name="cst_wskakunin_owner3_POST_KANA">DATA!$F$111</definedName>
    <definedName name="cst_wskakunin_owner3_TEL">DATA!$F$116</definedName>
    <definedName name="cst_wskakunin_owner3_ZIP">DATA!$F$114</definedName>
    <definedName name="cst_wskakunin_owner4__address">DATA!$F$128</definedName>
    <definedName name="cst_wskakunin_owner4__space">DATA!$F$130</definedName>
    <definedName name="cst_wskakunin_owner4_JIMU_NAME">DATA!$F$121</definedName>
    <definedName name="cst_wskakunin_owner4_JIMU_NAME_KANA">DATA!$F$122</definedName>
    <definedName name="cst_wskakunin_owner4_NAME">DATA!$F$125</definedName>
    <definedName name="cst_wskakunin_owner4_NAME_KANA">DATA!$F$126</definedName>
    <definedName name="cst_wskakunin_owner4_POST">DATA!$F$123</definedName>
    <definedName name="cst_wskakunin_owner4_POST_KANA">DATA!$F$124</definedName>
    <definedName name="cst_wskakunin_owner4_TEL">DATA!$F$129</definedName>
    <definedName name="cst_wskakunin_owner4_ZIP">DATA!$F$127</definedName>
    <definedName name="cst_wskakunin_owner5__address">DATA!$F$140</definedName>
    <definedName name="cst_wskakunin_owner5__space">DATA!$F$142</definedName>
    <definedName name="cst_wskakunin_owner5_JIMU_NAME">DATA!$F$133</definedName>
    <definedName name="cst_wskakunin_owner5_JIMU_NAME_KANA">DATA!$F$134</definedName>
    <definedName name="cst_wskakunin_owner5_NAME">DATA!$F$137</definedName>
    <definedName name="cst_wskakunin_owner5_NAME_KANA">DATA!$F$138</definedName>
    <definedName name="cst_wskakunin_owner5_POST">DATA!$F$135</definedName>
    <definedName name="cst_wskakunin_owner5_POST_KANA">DATA!$F$136</definedName>
    <definedName name="cst_wskakunin_owner5_TEL">DATA!$F$141</definedName>
    <definedName name="cst_wskakunin_owner5_ZIP">DATA!$F$139</definedName>
    <definedName name="cst_wskakunin_owner6__address">DATA!$F$152</definedName>
    <definedName name="cst_wskakunin_owner6__space2">DATA!$F$163</definedName>
    <definedName name="cst_wskakunin_owner6__space3">DATA!$F$154</definedName>
    <definedName name="cst_wskakunin_owner6_JIMU_NAME">DATA!$F$145</definedName>
    <definedName name="cst_wskakunin_owner6_JIMU_NAME_KANA">DATA!$F$146</definedName>
    <definedName name="cst_wskakunin_owner6_NAME">DATA!$F$149</definedName>
    <definedName name="cst_wskakunin_owner6_NAME_KANA">DATA!$F$150</definedName>
    <definedName name="cst_wskakunin_owner6_POST">DATA!$F$147</definedName>
    <definedName name="cst_wskakunin_owner6_POST_KANA">DATA!$F$148</definedName>
    <definedName name="cst_wskakunin_owner6_TEL">DATA!$F$153</definedName>
    <definedName name="cst_wskakunin_owner6_ZIP">DATA!$F$151</definedName>
    <definedName name="cst_wskakunin_owner7__address">DATA!$F$164</definedName>
    <definedName name="cst_wskakunin_owner7_JIMU_NAME">DATA!$F$157</definedName>
    <definedName name="cst_wskakunin_owner7_JIMU_NAME_KANA">DATA!$F$158</definedName>
    <definedName name="cst_wskakunin_owner7_NAME">DATA!$F$161</definedName>
    <definedName name="cst_wskakunin_owner7_NAME_KANA">DATA!$F$162</definedName>
    <definedName name="cst_wskakunin_owner7_POST">DATA!$F$159</definedName>
    <definedName name="cst_wskakunin_owner7_POST_KANA">DATA!$F$160</definedName>
    <definedName name="cst_wskakunin_owner7_TEL">DATA!$F$165</definedName>
    <definedName name="cst_wskakunin_owner7_ZIP">DATA!$F$163</definedName>
    <definedName name="cst_wskakunin_owner8__address">DATA!$F$175</definedName>
    <definedName name="cst_wskakunin_owner8_JIMU_NAME">DATA!$F$168</definedName>
    <definedName name="cst_wskakunin_owner8_JIMU_NAME_KANA">DATA!$F$169</definedName>
    <definedName name="cst_wskakunin_owner8_NAME">DATA!$F$172</definedName>
    <definedName name="cst_wskakunin_owner8_NAME_KANA">DATA!$F$173</definedName>
    <definedName name="cst_wskakunin_owner8_POST">DATA!$F$170</definedName>
    <definedName name="cst_wskakunin_owner8_POST_KANA">DATA!$F$171</definedName>
    <definedName name="cst_wskakunin_owner8_TEL">DATA!$F$176</definedName>
    <definedName name="cst_wskakunin_owner8_ZIP">DATA!$F$174</definedName>
    <definedName name="cst_wskakunin_owner9__address">DATA!$F$186</definedName>
    <definedName name="cst_wskakunin_owner9_JIMU_NAME">DATA!$F$179</definedName>
    <definedName name="cst_wskakunin_owner9_JIMU_NAME_KANA">DATA!$F$180</definedName>
    <definedName name="cst_wskakunin_owner9_NAME">DATA!$F$183</definedName>
    <definedName name="cst_wskakunin_owner9_NAME_KANA">DATA!$F$184</definedName>
    <definedName name="cst_wskakunin_owner9_POST">DATA!$F$181</definedName>
    <definedName name="cst_wskakunin_owner9_POST_KANA">DATA!$F$182</definedName>
    <definedName name="cst_wskakunin_owner9_TEL">DATA!$F$187</definedName>
    <definedName name="cst_wskakunin_owner9_ZIP">DATA!$F$185</definedName>
    <definedName name="cst_wskakunin_P1_HENKOU_GAIYOU">DATA!$F$61</definedName>
    <definedName name="cst_wskakunin_P2_BIKOU">DATA!$F$839</definedName>
    <definedName name="cst_wskakunin_P3_BIKOU">DATA!$F$1176</definedName>
    <definedName name="cst_wskakunin_P3_SONOTA">DATA!$F$1174</definedName>
    <definedName name="cst_wskakunin_p4_1__kouji">DATA!$F$880</definedName>
    <definedName name="cst_wskakunin_p4_1_KAISU_TIKAI">DATA!$F$882</definedName>
    <definedName name="cst_wskakunin_p4_1_KAISU_TIKAI_NOZOKU">DATA!$F$881</definedName>
    <definedName name="cst_wskakunin_p4_1_KAISU_YUKA_MENSEKI_SHINSEI">DATA!$F$887</definedName>
    <definedName name="cst_wskakunin_p4_1_KOUZOU1">DATA!$F$883</definedName>
    <definedName name="cst_wskakunin_p4_1_KOUZOU2">DATA!$F$884</definedName>
    <definedName name="cst_wskakunin_p4_1_p5_1_KAI">DATA!$F$892</definedName>
    <definedName name="cst_wskakunin_p4_1_p5_1_P4_MENSEKI_SHINSEI">DATA!$F$893</definedName>
    <definedName name="cst_wskakunin_p4_1_p5_2_KAI">DATA!$F$894</definedName>
    <definedName name="cst_wskakunin_p4_1_p5_2_P4_MENSEKI_SHINSEI">DATA!$F$895</definedName>
    <definedName name="cst_wskakunin_p4_1_p5_3_KAI">DATA!$F$896</definedName>
    <definedName name="cst_wskakunin_p4_1_p5_3_P4_MENSEKI_SHINSEI">DATA!$F$897</definedName>
    <definedName name="cst_wskakunin_p4_1_TAKASA_KEN_MAX">DATA!$F$886</definedName>
    <definedName name="cst_wskakunin_p4_1_TAKASA_MAX">DATA!$F$885</definedName>
    <definedName name="cst_wskakunin_p4_1_TOKUREI_KAKUNIN_FLAG">DATA!$F$888</definedName>
    <definedName name="cst_wskakunin_p4_1_TOKUREI_KAKUNIN_FLAG_off">DATA!$F$890</definedName>
    <definedName name="cst_wskakunin_p4_1_TOKUREI_KAKUNIN_FLAG_on">DATA!$F$889</definedName>
    <definedName name="cst_wskakunin_p4_1_youto1_YOUTO">DATA!$F$871</definedName>
    <definedName name="cst_wskakunin_p4_1_youto1_YOUTO_1">DATA!$F$873</definedName>
    <definedName name="cst_wskakunin_p4_1_youto1_YOUTO_2">DATA!$F$874</definedName>
    <definedName name="cst_wskakunin_p4_1_youto1_YOUTO_3">DATA!$F$875</definedName>
    <definedName name="cst_wskakunin_p4_1_youto1_YOUTO_4">DATA!$F$876</definedName>
    <definedName name="cst_wskakunin_p4_1_youto1_YOUTO_5">DATA!$F$877</definedName>
    <definedName name="cst_wskakunin_p4_1_youto1_YOUTO_6">DATA!$F$878</definedName>
    <definedName name="cst_wskakunin_p4_1_youto1_YOUTO_9">DATA!$F$879</definedName>
    <definedName name="cst_wskakunin_p4_1_youto1_YOUTO_CODE">DATA!$F$872</definedName>
    <definedName name="cst_wskakunin_PAGE1_ALTERATION_NOTE">DATA!$F$68</definedName>
    <definedName name="cst_wskakunin_sekkei1__address">DATA!$F$295</definedName>
    <definedName name="cst_wskakunin_sekkei1__sikaku">DATA!$F$283</definedName>
    <definedName name="cst_wskakunin_sekkei1_DOC">DATA!$F$297</definedName>
    <definedName name="cst_wskakunin_sekkei1_JIMU__sikaku">DATA!$F$288</definedName>
    <definedName name="cst_wskakunin_sekkei1_JIMU_NAME">DATA!$F$292</definedName>
    <definedName name="cst_wskakunin_sekkei1_JIMU_NO">DATA!$F$291</definedName>
    <definedName name="cst_wskakunin_sekkei1_JIMU_SIKAKU">DATA!$F$289</definedName>
    <definedName name="cst_wskakunin_sekkei1_JIMU_TOUROKU_KIKAN">DATA!$F$290</definedName>
    <definedName name="cst_wskakunin_sekkei1_jimuname_name">DATA!$F$293</definedName>
    <definedName name="cst_wskakunin_sekkei1_KENTIKUSI_NO">DATA!$F$286</definedName>
    <definedName name="cst_wskakunin_sekkei1_NAME">DATA!$F$287</definedName>
    <definedName name="cst_wskakunin_sekkei1_SIKAKU">DATA!$F$284</definedName>
    <definedName name="cst_wskakunin_sekkei1_TEL">DATA!$F$296</definedName>
    <definedName name="cst_wskakunin_sekkei1_TOUROKU_KIKAN">DATA!$F$285</definedName>
    <definedName name="cst_wskakunin_sekkei1_ZIP">DATA!$F$294</definedName>
    <definedName name="cst_wskakunin_sekkei10__address">DATA!$F$448</definedName>
    <definedName name="cst_wskakunin_sekkei10__sikaku">DATA!$F$436</definedName>
    <definedName name="cst_wskakunin_sekkei10_DOC">DATA!$F$450</definedName>
    <definedName name="cst_wskakunin_sekkei10_JIMU__sikaku">DATA!$F$441</definedName>
    <definedName name="cst_wskakunin_sekkei10_JIMU_NAME">DATA!$F$445</definedName>
    <definedName name="cst_wskakunin_sekkei10_JIMU_NO">DATA!$F$444</definedName>
    <definedName name="cst_wskakunin_sekkei10_JIMU_SIKAKU">DATA!$F$442</definedName>
    <definedName name="cst_wskakunin_sekkei10_JIMU_TOUROKU_KIKAN">DATA!$F$443</definedName>
    <definedName name="cst_wskakunin_sekkei10_jimuname_name">DATA!$F$446</definedName>
    <definedName name="cst_wskakunin_sekkei10_KENTIKUSI_NO">DATA!$F$439</definedName>
    <definedName name="cst_wskakunin_sekkei10_NAME">DATA!$F$440</definedName>
    <definedName name="cst_wskakunin_sekkei10_SIKAKU">DATA!$F$437</definedName>
    <definedName name="cst_wskakunin_sekkei10_TEL">DATA!$F$449</definedName>
    <definedName name="cst_wskakunin_sekkei10_TOUROKU_KIKAN">DATA!$F$438</definedName>
    <definedName name="cst_wskakunin_sekkei10_ZIP">DATA!$F$447</definedName>
    <definedName name="cst_wskakunin_sekkei11__address">DATA!$F$465</definedName>
    <definedName name="cst_wskakunin_sekkei11__sikaku">DATA!$F$453</definedName>
    <definedName name="cst_wskakunin_sekkei11_DOC">DATA!$F$467</definedName>
    <definedName name="cst_wskakunin_sekkei11_JIMU__sikaku">DATA!$F$458</definedName>
    <definedName name="cst_wskakunin_sekkei11_JIMU_NAME">DATA!$F$462</definedName>
    <definedName name="cst_wskakunin_sekkei11_JIMU_NO">DATA!$F$461</definedName>
    <definedName name="cst_wskakunin_sekkei11_JIMU_SIKAKU">DATA!$F$459</definedName>
    <definedName name="cst_wskakunin_sekkei11_JIMU_TOUROKU_KIKAN">DATA!$F$460</definedName>
    <definedName name="cst_wskakunin_sekkei11_jimuname_name">DATA!$F$463</definedName>
    <definedName name="cst_wskakunin_sekkei11_KENTIKUSI_NO">DATA!$F$456</definedName>
    <definedName name="cst_wskakunin_sekkei11_NAME">DATA!$F$457</definedName>
    <definedName name="cst_wskakunin_sekkei11_SIKAKU">DATA!$F$454</definedName>
    <definedName name="cst_wskakunin_sekkei11_TEL">DATA!$F$466</definedName>
    <definedName name="cst_wskakunin_sekkei11_TOUROKU_KIKAN">DATA!$F$455</definedName>
    <definedName name="cst_wskakunin_sekkei11_ZIP">DATA!$F$464</definedName>
    <definedName name="cst_wskakunin_sekkei12__address">DATA!$F$482</definedName>
    <definedName name="cst_wskakunin_sekkei12__sikaku">DATA!$F$470</definedName>
    <definedName name="cst_wskakunin_sekkei12_DOC">DATA!$F$484</definedName>
    <definedName name="cst_wskakunin_sekkei12_JIMU__sikaku">DATA!$F$475</definedName>
    <definedName name="cst_wskakunin_sekkei12_JIMU_NAME">DATA!$F$479</definedName>
    <definedName name="cst_wskakunin_sekkei12_JIMU_NO">DATA!$F$478</definedName>
    <definedName name="cst_wskakunin_sekkei12_JIMU_SIKAKU">DATA!$F$476</definedName>
    <definedName name="cst_wskakunin_sekkei12_JIMU_TOUROKU_KIKAN">DATA!$F$477</definedName>
    <definedName name="cst_wskakunin_sekkei12_jimuname_name">DATA!$F$480</definedName>
    <definedName name="cst_wskakunin_sekkei12_KENTIKUSI_NO">DATA!$F$473</definedName>
    <definedName name="cst_wskakunin_sekkei12_NAME">DATA!$F$474</definedName>
    <definedName name="cst_wskakunin_sekkei12_SIKAKU">DATA!$F$471</definedName>
    <definedName name="cst_wskakunin_sekkei12_TEL">DATA!$F$483</definedName>
    <definedName name="cst_wskakunin_sekkei12_TOUROKU_KIKAN">DATA!$F$472</definedName>
    <definedName name="cst_wskakunin_sekkei12_ZIP">DATA!$F$481</definedName>
    <definedName name="cst_wskakunin_sekkei2__address">DATA!$F$312</definedName>
    <definedName name="cst_wskakunin_sekkei2__sikaku">DATA!$F$300</definedName>
    <definedName name="cst_wskakunin_sekkei2_DOC">DATA!$F$314</definedName>
    <definedName name="cst_wskakunin_sekkei2_JIMU__sikaku">DATA!$F$305</definedName>
    <definedName name="cst_wskakunin_sekkei2_JIMU_NAME">DATA!$F$309</definedName>
    <definedName name="cst_wskakunin_sekkei2_JIMU_NO">DATA!$F$308</definedName>
    <definedName name="cst_wskakunin_sekkei2_JIMU_SIKAKU">DATA!$F$306</definedName>
    <definedName name="cst_wskakunin_sekkei2_JIMU_TOUROKU_KIKAN">DATA!$F$307</definedName>
    <definedName name="cst_wskakunin_sekkei2_jimuname_name">DATA!$F$310</definedName>
    <definedName name="cst_wskakunin_sekkei2_KENTIKUSI_NO">DATA!$F$303</definedName>
    <definedName name="cst_wskakunin_sekkei2_NAME">DATA!$F$304</definedName>
    <definedName name="cst_wskakunin_sekkei2_SIKAKU">DATA!$F$301</definedName>
    <definedName name="cst_wskakunin_sekkei2_TEL">DATA!$F$313</definedName>
    <definedName name="cst_wskakunin_sekkei2_TOUROKU_KIKAN">DATA!$F$302</definedName>
    <definedName name="cst_wskakunin_sekkei2_ZIP">DATA!$F$311</definedName>
    <definedName name="cst_wskakunin_sekkei3__address">DATA!$F$329</definedName>
    <definedName name="cst_wskakunin_sekkei3__sikaku">DATA!$F$317</definedName>
    <definedName name="cst_wskakunin_sekkei3_DOC">DATA!$F$331</definedName>
    <definedName name="cst_wskakunin_sekkei3_JIMU__sikaku">DATA!$F$322</definedName>
    <definedName name="cst_wskakunin_sekkei3_JIMU_NAME">DATA!$F$326</definedName>
    <definedName name="cst_wskakunin_sekkei3_JIMU_NO">DATA!$F$325</definedName>
    <definedName name="cst_wskakunin_sekkei3_JIMU_SIKAKU">DATA!$F$323</definedName>
    <definedName name="cst_wskakunin_sekkei3_JIMU_TOUROKU_KIKAN">DATA!$F$324</definedName>
    <definedName name="cst_wskakunin_sekkei3_jimuname_name">DATA!$F$327</definedName>
    <definedName name="cst_wskakunin_sekkei3_KENTIKUSI_NO">DATA!$F$320</definedName>
    <definedName name="cst_wskakunin_sekkei3_NAME">DATA!$F$321</definedName>
    <definedName name="cst_wskakunin_sekkei3_SIKAKU">DATA!$F$318</definedName>
    <definedName name="cst_wskakunin_sekkei3_TEL">DATA!$F$330</definedName>
    <definedName name="cst_wskakunin_sekkei3_TOUROKU_KIKAN">DATA!$F$319</definedName>
    <definedName name="cst_wskakunin_sekkei3_ZIP">DATA!$F$328</definedName>
    <definedName name="cst_wskakunin_sekkei4__address">DATA!$F$346</definedName>
    <definedName name="cst_wskakunin_sekkei4__sikaku">DATA!$F$334</definedName>
    <definedName name="cst_wskakunin_sekkei4_DOC">DATA!$F$348</definedName>
    <definedName name="cst_wskakunin_sekkei4_JIMU__sikaku">DATA!$F$339</definedName>
    <definedName name="cst_wskakunin_sekkei4_JIMU_NAME">DATA!$F$343</definedName>
    <definedName name="cst_wskakunin_sekkei4_JIMU_NO">DATA!$F$342</definedName>
    <definedName name="cst_wskakunin_sekkei4_JIMU_SIKAKU">DATA!$F$340</definedName>
    <definedName name="cst_wskakunin_sekkei4_JIMU_TOUROKU_KIKAN">DATA!$F$341</definedName>
    <definedName name="cst_wskakunin_sekkei4_jimuname_name">DATA!$F$344</definedName>
    <definedName name="cst_wskakunin_sekkei4_KENTIKUSI_NO">DATA!$F$337</definedName>
    <definedName name="cst_wskakunin_sekkei4_NAME">DATA!$F$338</definedName>
    <definedName name="cst_wskakunin_sekkei4_SIKAKU">DATA!$F$335</definedName>
    <definedName name="cst_wskakunin_sekkei4_TEL">DATA!$F$347</definedName>
    <definedName name="cst_wskakunin_sekkei4_TOUROKU_KIKAN">DATA!$F$336</definedName>
    <definedName name="cst_wskakunin_sekkei4_ZIP">DATA!$F$345</definedName>
    <definedName name="cst_wskakunin_sekkei5__address">DATA!$F$363</definedName>
    <definedName name="cst_wskakunin_sekkei5__sikaku">DATA!$F$351</definedName>
    <definedName name="cst_wskakunin_sekkei5_DOC">DATA!$F$365</definedName>
    <definedName name="cst_wskakunin_sekkei5_JIMU__sikaku">DATA!$F$356</definedName>
    <definedName name="cst_wskakunin_sekkei5_JIMU_NAME">DATA!$F$360</definedName>
    <definedName name="cst_wskakunin_sekkei5_JIMU_NO">DATA!$F$359</definedName>
    <definedName name="cst_wskakunin_sekkei5_JIMU_SIKAKU">DATA!$F$357</definedName>
    <definedName name="cst_wskakunin_sekkei5_JIMU_TOUROKU_KIKAN">DATA!$F$358</definedName>
    <definedName name="cst_wskakunin_sekkei5_jimuname_name">DATA!$F$361</definedName>
    <definedName name="cst_wskakunin_sekkei5_KENTIKUSI_NO">DATA!$F$354</definedName>
    <definedName name="cst_wskakunin_sekkei5_NAME">DATA!$F$355</definedName>
    <definedName name="cst_wskakunin_sekkei5_SIKAKU">DATA!$F$352</definedName>
    <definedName name="cst_wskakunin_sekkei5_TEL">DATA!$F$364</definedName>
    <definedName name="cst_wskakunin_sekkei5_TOUROKU_KIKAN">DATA!$F$353</definedName>
    <definedName name="cst_wskakunin_sekkei5_ZIP">DATA!$F$362</definedName>
    <definedName name="cst_wskakunin_sekkei6__address">DATA!$F$380</definedName>
    <definedName name="cst_wskakunin_sekkei6__sikaku">DATA!$F$368</definedName>
    <definedName name="cst_wskakunin_sekkei6_DOC">DATA!$F$382</definedName>
    <definedName name="cst_wskakunin_sekkei6_JIMU__sikaku">DATA!$F$373</definedName>
    <definedName name="cst_wskakunin_sekkei6_JIMU_NAME">DATA!$F$377</definedName>
    <definedName name="cst_wskakunin_sekkei6_JIMU_NO">DATA!$F$376</definedName>
    <definedName name="cst_wskakunin_sekkei6_JIMU_SIKAKU">DATA!$F$374</definedName>
    <definedName name="cst_wskakunin_sekkei6_JIMU_TOUROKU_KIKAN">DATA!$F$375</definedName>
    <definedName name="cst_wskakunin_sekkei6_jimuname_name">DATA!$F$378</definedName>
    <definedName name="cst_wskakunin_sekkei6_KENTIKUSI_NO">DATA!$F$371</definedName>
    <definedName name="cst_wskakunin_sekkei6_NAME">DATA!$F$372</definedName>
    <definedName name="cst_wskakunin_sekkei6_SIKAKU">DATA!$F$369</definedName>
    <definedName name="cst_wskakunin_sekkei6_TEL">DATA!$F$381</definedName>
    <definedName name="cst_wskakunin_sekkei6_TOUROKU_KIKAN">DATA!$F$370</definedName>
    <definedName name="cst_wskakunin_sekkei6_ZIP">DATA!$F$379</definedName>
    <definedName name="cst_wskakunin_sekkei7__address">DATA!$F$397</definedName>
    <definedName name="cst_wskakunin_sekkei7__sikaku">DATA!$F$385</definedName>
    <definedName name="cst_wskakunin_sekkei7_DOC">DATA!$F$399</definedName>
    <definedName name="cst_wskakunin_sekkei7_JIMU__sikaku">DATA!$F$390</definedName>
    <definedName name="cst_wskakunin_sekkei7_JIMU_NAME">DATA!$F$394</definedName>
    <definedName name="cst_wskakunin_sekkei7_JIMU_NO">DATA!$F$393</definedName>
    <definedName name="cst_wskakunin_sekkei7_JIMU_SIKAKU">DATA!$F$391</definedName>
    <definedName name="cst_wskakunin_sekkei7_JIMU_TOUROKU_KIKAN">DATA!$F$392</definedName>
    <definedName name="cst_wskakunin_sekkei7_jimuname_name">DATA!$F$395</definedName>
    <definedName name="cst_wskakunin_sekkei7_KENTIKUSI_NO">DATA!$F$388</definedName>
    <definedName name="cst_wskakunin_sekkei7_NAME">DATA!$F$389</definedName>
    <definedName name="cst_wskakunin_sekkei7_SIKAKU">DATA!$F$386</definedName>
    <definedName name="cst_wskakunin_sekkei7_TEL">DATA!$F$398</definedName>
    <definedName name="cst_wskakunin_sekkei7_TOUROKU_KIKAN">DATA!$F$387</definedName>
    <definedName name="cst_wskakunin_sekkei7_ZIP">DATA!$F$396</definedName>
    <definedName name="cst_wskakunin_sekkei8__address">DATA!$F$414</definedName>
    <definedName name="cst_wskakunin_sekkei8__sikaku">DATA!$F$402</definedName>
    <definedName name="cst_wskakunin_sekkei8_DOC">DATA!$F$416</definedName>
    <definedName name="cst_wskakunin_sekkei8_JIMU__sikaku">DATA!$F$407</definedName>
    <definedName name="cst_wskakunin_sekkei8_JIMU_NAME">DATA!$F$411</definedName>
    <definedName name="cst_wskakunin_sekkei8_JIMU_NO">DATA!$F$410</definedName>
    <definedName name="cst_wskakunin_sekkei8_JIMU_SIKAKU">DATA!$F$408</definedName>
    <definedName name="cst_wskakunin_sekkei8_JIMU_TOUROKU_KIKAN">DATA!$F$409</definedName>
    <definedName name="cst_wskakunin_sekkei8_jimuname_name">DATA!$F$412</definedName>
    <definedName name="cst_wskakunin_sekkei8_KENTIKUSI_NO">DATA!$F$405</definedName>
    <definedName name="cst_wskakunin_sekkei8_NAME">DATA!$F$406</definedName>
    <definedName name="cst_wskakunin_sekkei8_SIKAKU">DATA!$F$403</definedName>
    <definedName name="cst_wskakunin_sekkei8_TEL">DATA!$F$415</definedName>
    <definedName name="cst_wskakunin_sekkei8_TOUROKU_KIKAN">DATA!$F$404</definedName>
    <definedName name="cst_wskakunin_sekkei8_ZIP">DATA!$F$413</definedName>
    <definedName name="cst_wskakunin_sekkei9__address">DATA!$F$431</definedName>
    <definedName name="cst_wskakunin_sekkei9__sikaku">DATA!$F$419</definedName>
    <definedName name="cst_wskakunin_sekkei9_DOC">DATA!$F$433</definedName>
    <definedName name="cst_wskakunin_sekkei9_JIMU__sikaku">DATA!$F$424</definedName>
    <definedName name="cst_wskakunin_sekkei9_JIMU_NAME">DATA!$F$428</definedName>
    <definedName name="cst_wskakunin_sekkei9_JIMU_NO">DATA!$F$427</definedName>
    <definedName name="cst_wskakunin_sekkei9_JIMU_SIKAKU">DATA!$F$425</definedName>
    <definedName name="cst_wskakunin_sekkei9_JIMU_TOUROKU_KIKAN">DATA!$F$426</definedName>
    <definedName name="cst_wskakunin_sekkei9_jimuname_name">DATA!$F$429</definedName>
    <definedName name="cst_wskakunin_sekkei9_KENTIKUSI_NO">DATA!$F$422</definedName>
    <definedName name="cst_wskakunin_sekkei9_NAME">DATA!$F$423</definedName>
    <definedName name="cst_wskakunin_sekkei9_SIKAKU">DATA!$F$420</definedName>
    <definedName name="cst_wskakunin_sekkei9_TEL">DATA!$F$432</definedName>
    <definedName name="cst_wskakunin_sekkei9_TOUROKU_KIKAN">DATA!$F$421</definedName>
    <definedName name="cst_wskakunin_sekkei9_ZIP">DATA!$F$430</definedName>
    <definedName name="cst_wskakunin_sekou1__address">DATA!$F$780</definedName>
    <definedName name="cst_wskakunin_sekou1__hajime">DATA!$F$834</definedName>
    <definedName name="cst_wskakunin_sekou1__kistar">DATA!$F$835</definedName>
    <definedName name="cst_wskakunin_sekou1_JIMU_NAME">DATA!$F$778</definedName>
    <definedName name="cst_wskakunin_sekou1_kakunin">DATA!$F$782</definedName>
    <definedName name="cst_wskakunin_sekou1_NAME">DATA!$F$774</definedName>
    <definedName name="cst_wskakunin_sekou1_SEKOU__sikaku">DATA!$F$775</definedName>
    <definedName name="cst_wskakunin_sekou1_SEKOU_NO">DATA!$F$777</definedName>
    <definedName name="cst_wskakunin_sekou1_SEKOU_SIKAKU">DATA!$F$776</definedName>
    <definedName name="cst_wskakunin_sekou1_TEL">DATA!$F$781</definedName>
    <definedName name="cst_wskakunin_sekou1_ZIP">DATA!$F$779</definedName>
    <definedName name="cst_wskakunin_sekou2__address">DATA!$F$790</definedName>
    <definedName name="cst_wskakunin_sekou2_JIMU_NAME">DATA!$F$788</definedName>
    <definedName name="cst_wskakunin_sekou2_NAME">DATA!$F$784</definedName>
    <definedName name="cst_wskakunin_sekou2_SEKOU__sikaku">DATA!$F$785</definedName>
    <definedName name="cst_wskakunin_sekou2_SEKOU_NO">DATA!$F$787</definedName>
    <definedName name="cst_wskakunin_sekou2_SEKOU_SIKAKU">DATA!$F$786</definedName>
    <definedName name="cst_wskakunin_sekou2_TEL">DATA!$F$791</definedName>
    <definedName name="cst_wskakunin_sekou2_ZIP">DATA!$F$789</definedName>
    <definedName name="cst_wskakunin_sekou3__address">DATA!$F$800</definedName>
    <definedName name="cst_wskakunin_sekou3_JIMU_NAME">DATA!$F$798</definedName>
    <definedName name="cst_wskakunin_sekou3_NAME">DATA!$F$794</definedName>
    <definedName name="cst_wskakunin_sekou3_SEKOU__sikaku">DATA!$F$795</definedName>
    <definedName name="cst_wskakunin_sekou3_SEKOU_NO">DATA!$F$797</definedName>
    <definedName name="cst_wskakunin_sekou3_SEKOU_SIKAKU">DATA!$F$796</definedName>
    <definedName name="cst_wskakunin_sekou3_TEL">DATA!$F$801</definedName>
    <definedName name="cst_wskakunin_sekou3_ZIP">DATA!$F$799</definedName>
    <definedName name="cst_wskakunin_sekou4__address">DATA!$F$810</definedName>
    <definedName name="cst_wskakunin_sekou4_JIMU_NAME">DATA!$F$808</definedName>
    <definedName name="cst_wskakunin_sekou4_NAME">DATA!$F$804</definedName>
    <definedName name="cst_wskakunin_sekou4_SEKOU__sikaku">DATA!$F$805</definedName>
    <definedName name="cst_wskakunin_sekou4_SEKOU_NO">DATA!$F$807</definedName>
    <definedName name="cst_wskakunin_sekou4_SEKOU_SIKAKU">DATA!$F$806</definedName>
    <definedName name="cst_wskakunin_sekou4_TEL">DATA!$F$811</definedName>
    <definedName name="cst_wskakunin_sekou4_ZIP">DATA!$F$809</definedName>
    <definedName name="cst_wskakunin_sekou5__address">DATA!$F$820</definedName>
    <definedName name="cst_wskakunin_sekou5_JIMU_NAME">DATA!$F$818</definedName>
    <definedName name="cst_wskakunin_sekou5_NAME">DATA!$F$814</definedName>
    <definedName name="cst_wskakunin_sekou5_SEKOU__sikaku">DATA!$F$815</definedName>
    <definedName name="cst_wskakunin_sekou5_SEKOU_NO">DATA!$F$817</definedName>
    <definedName name="cst_wskakunin_sekou5_SEKOU_SIKAKU">DATA!$F$816</definedName>
    <definedName name="cst_wskakunin_sekou5_TEL">DATA!$F$821</definedName>
    <definedName name="cst_wskakunin_sekou5_ZIP">DATA!$F$819</definedName>
    <definedName name="cst_wskakunin_sekou6__address">DATA!$F$830</definedName>
    <definedName name="cst_wskakunin_sekou6_JIMU_NAME">DATA!$F$828</definedName>
    <definedName name="cst_wskakunin_sekou6_NAME">DATA!$F$824</definedName>
    <definedName name="cst_wskakunin_sekou6_SEKOU__sikaku">DATA!$F$825</definedName>
    <definedName name="cst_wskakunin_sekou6_SEKOU_NO">DATA!$F$827</definedName>
    <definedName name="cst_wskakunin_sekou6_SEKOU_SIKAKU">DATA!$F$826</definedName>
    <definedName name="cst_wskakunin_sekou6_TEL">DATA!$F$831</definedName>
    <definedName name="cst_wskakunin_sekou6_ZIP">DATA!$F$829</definedName>
    <definedName name="cst_wskakunin_SHIKITI_MENSEKI_1_TOTAL">DATA!$F$959</definedName>
    <definedName name="cst_wskakunin_SHIKITI_MENSEKI_1A">DATA!$F$935</definedName>
    <definedName name="cst_wskakunin_SHIKITI_MENSEKI_1B">DATA!$F$936</definedName>
    <definedName name="cst_wskakunin_SHIKITI_MENSEKI_1C">DATA!$F$937</definedName>
    <definedName name="cst_wskakunin_SHIKITI_MENSEKI_1D">DATA!$F$938</definedName>
    <definedName name="cst_wskakunin_SHIKITI_MENSEKI_2_TOTAL">DATA!$F$960</definedName>
    <definedName name="cst_wskakunin_SHIKITI_MENSEKI_2A">DATA!$F$939</definedName>
    <definedName name="cst_wskakunin_SHIKITI_MENSEKI_2B">DATA!$F$940</definedName>
    <definedName name="cst_wskakunin_SHIKITI_MENSEKI_2C">DATA!$F$941</definedName>
    <definedName name="cst_wskakunin_SHIKITI_MENSEKI_2D">DATA!$F$942</definedName>
    <definedName name="cst_wskakunin_SHIKITI_MENSEKI_BIKOU">DATA!$F$963</definedName>
    <definedName name="cst_wskakunin_SHINSEI_DATE">DATA!$F$56</definedName>
    <definedName name="cst_wskakunin_TAKASA_MAX_SHINSEI">DATA!$F$1090</definedName>
    <definedName name="cst_wskakunin_TAKASA_MAX_SONOTA">DATA!$F$1091</definedName>
    <definedName name="cst_wskakunin_tekihan01_TEKIHAN_KIKAN_ADDRESS">DATA!$F$849</definedName>
    <definedName name="cst_wskakunin_tekihan01_TEKIHAN_KIKAN_info">DATA!$F$850</definedName>
    <definedName name="cst_wskakunin_tekihan01_TEKIHAN_KIKAN_KEN__ken">DATA!$F$848</definedName>
    <definedName name="cst_wskakunin_tekihan01_TEKIHAN_KIKAN_NAME">DATA!$F$847</definedName>
    <definedName name="cst_wskakunin_tekihan01_TEKIHAN_STATE_mishinsei">DATA!$F$845</definedName>
    <definedName name="cst_wskakunin_tekihan01_TEKIHAN_STATE_shinsei">DATA!$F$844</definedName>
    <definedName name="cst_wskakunin_tekihan01_TEKIHAN_STATE_shinseifuyou">DATA!$F$846</definedName>
    <definedName name="cst_wskakunin_tekihan02_TEKIHAN_KIKAN_ADDRESS">DATA!$F$853</definedName>
    <definedName name="cst_wskakunin_tekihan02_TEKIHAN_KIKAN_info">DATA!$F$854</definedName>
    <definedName name="cst_wskakunin_tekihan02_TEKIHAN_KIKAN_KEN__ken">DATA!$F$852</definedName>
    <definedName name="cst_wskakunin_tekihan02_TEKIHAN_KIKAN_NAME">DATA!$F$851</definedName>
    <definedName name="cst_wskakunin_TOKUREI_TAKASA">DATA!$F$1105</definedName>
    <definedName name="cst_wskakunin_TOKUREI_TAKASA_box_off">DATA!$F$1107</definedName>
    <definedName name="cst_wskakunin_TOKUREI_TAKASA_box_on">DATA!$F$1106</definedName>
    <definedName name="cst_wskakunin_TOKUREI_TAKASA_DOURO">DATA!$F$1110</definedName>
    <definedName name="cst_wskakunin_TOKUREI_TAKASA_KITA">DATA!$F$1112</definedName>
    <definedName name="cst_wskakunin_TOKUREI_TAKASA_RINTI">DATA!$F$1111</definedName>
    <definedName name="cst_wskakunin_TOKUREI_txt">DATA!$F$1183</definedName>
    <definedName name="cst_wskakunin_TOKUTEI_KOUJI_KANRYOU_DATE_select">DATA!$F$1199</definedName>
    <definedName name="cst_wskakunin_TOKUTEI_KOUTEI">DATA!$F$1196</definedName>
    <definedName name="cst_wskakunin_TOKUTEI_KOUTEI_inter1">DATA!$F$1197</definedName>
    <definedName name="cst_wskakunin_TOKUTEI_KOUTEI_inter2">DATA!$F$1198</definedName>
    <definedName name="cst_wskakunin_wskakunin_SONOTA_KUIKI">DATA!$F$927</definedName>
    <definedName name="cst_wskakunin_YOUSEKI_RITU">DATA!$F$1082</definedName>
    <definedName name="cst_wskakunin_YOUSEKI_RITU_A">DATA!$F$949</definedName>
    <definedName name="cst_wskakunin_YOUSEKI_RITU_B">DATA!$F$950</definedName>
    <definedName name="cst_wskakunin_YOUSEKI_RITU_C">DATA!$F$951</definedName>
    <definedName name="cst_wskakunin_YOUSEKI_RITU_D">DATA!$F$952</definedName>
    <definedName name="cst_wskakunin_YOUTO">DATA!$F$966</definedName>
    <definedName name="cst_wskakunin_YOUTO_CODE">DATA!$F$965</definedName>
    <definedName name="cst_wskakunin_YOUTO_kodate_box">DATA!$F$968</definedName>
    <definedName name="cst_wskakunin_YOUTO_kyoudou_box">DATA!$F$969</definedName>
    <definedName name="cst_wskakunin_YOUTO_TIIKI_A">DATA!$F$944</definedName>
    <definedName name="cst_wskakunin_YOUTO_TIIKI_B">DATA!$F$945</definedName>
    <definedName name="cst_wskakunin_YOUTO_TIIKI_C">DATA!$F$946</definedName>
    <definedName name="cst_wskakunin_YOUTO_TIIKI_D">DATA!$F$947</definedName>
    <definedName name="_xlnm.Print_Area" localSheetId="7">委任状_確認等!$A$1:$O$49</definedName>
    <definedName name="shinsei_build_p6_01_PAGE6_KOUZOU_KEISAN_KIND__002">DATA!$D$53</definedName>
    <definedName name="shinsei_build_p6_01_PAGE6_KOUZOU_KEISAN_KIND__004">DATA!$D$52</definedName>
    <definedName name="shinsei_build_p6_01_PAGE6_KOUZOU_KEISAN_KIND__005">DATA!$D$51</definedName>
    <definedName name="shinsei_build_YOUTO">DATA!$D$1328</definedName>
    <definedName name="shinsei_HIKIUKE_DATE">DATA!$D$40</definedName>
    <definedName name="shinsei_ISSUE_DATE">DATA!$D$46</definedName>
    <definedName name="shinsei_ISSUE_KOUFU_NAME">DATA!$D$48</definedName>
    <definedName name="shinsei_ISSUE_NO">DATA!$D$42</definedName>
    <definedName name="shinsei_KAKU_SUMI_NO">DATA!$D$44</definedName>
    <definedName name="shinsei_PROVO_DATE">DATA!$D$34</definedName>
    <definedName name="shinsei_PROVO_NO">DATA!$D$35</definedName>
    <definedName name="shinsei_UKETUKE_NO">DATA!$D$38</definedName>
    <definedName name="shinsei_UNIT_COUNT">DATA!$D$967</definedName>
    <definedName name="showsheetflag_cst_DATA">dSHEET!$B$7</definedName>
    <definedName name="showsheetflag_DATA">dSHEET!$B$6</definedName>
    <definedName name="showsheetflag_dSHEET">dSHEET!$B$5</definedName>
    <definedName name="showsheetflag_dSTART">dSHEET!$B$4</definedName>
    <definedName name="showsheetflag_NoObject">dSHEET!$B$71</definedName>
    <definedName name="showsheetflag_つくば市_別添">dSHEET!$B$25</definedName>
    <definedName name="showsheetflag_ひたちなか市_別添">dSHEET!$B$22</definedName>
    <definedName name="showsheetflag_リスト">dSHEET!$B$11</definedName>
    <definedName name="showsheetflag_委任状_確認等">dSHEET!$B$18</definedName>
    <definedName name="showsheetflag_茨城県_現地調査表">dSHEET!$B$19</definedName>
    <definedName name="showsheetflag_火災_S造">dSHEET!$B$53</definedName>
    <definedName name="showsheetflag_火災_木造">dSHEET!$B$44</definedName>
    <definedName name="showsheetflag_記載事項変更・訂正届">dSHEET!$B$26</definedName>
    <definedName name="showsheetflag_技術的審査依頼書">dSHEET!$B$59</definedName>
    <definedName name="showsheetflag_技術的審査依頼書_変更">dSHEET!$B$60</definedName>
    <definedName name="showsheetflag_空気・光・音環境_S造">dSHEET!$B$56</definedName>
    <definedName name="showsheetflag_空気・光・音環境_木造">dSHEET!$B$47</definedName>
    <definedName name="showsheetflag_軽微な変更説明書">dSHEET!$B$27</definedName>
    <definedName name="showsheetflag_建築確認申請事前調査票">dSHEET!$B$14</definedName>
    <definedName name="showsheetflag_建築計画概要書_第三面">dSHEET!$B$17</definedName>
    <definedName name="showsheetflag_建築工事届">dSHEET!$B$15</definedName>
    <definedName name="showsheetflag_建築工事届K">dSHEET!$B$16</definedName>
    <definedName name="showsheetflag_工事監理者・施工者の決定届出書">dSHEET!$B$29</definedName>
    <definedName name="showsheetflag_工事施工者の決定報告書">dSHEET!$B$30</definedName>
    <definedName name="showsheetflag_工事取止届">dSHEET!$B$32</definedName>
    <definedName name="showsheetflag_項目リスト">dSHEET!$B$8</definedName>
    <definedName name="showsheetflag_高萩市_別添">dSHEET!$B$24</definedName>
    <definedName name="showsheetflag_高齢者_S造">dSHEET!$B$57</definedName>
    <definedName name="showsheetflag_高齢者_木造">dSHEET!$B$48</definedName>
    <definedName name="showsheetflag_取下げ届">dSHEET!$B$31</definedName>
    <definedName name="showsheetflag_取下げ届_長期">dSHEET!$B$67</definedName>
    <definedName name="showsheetflag_取手市_別添">dSHEET!$B$23</definedName>
    <definedName name="showsheetflag_省エネ_S造">dSHEET!$B$55</definedName>
    <definedName name="showsheetflag_省エネ_木造">dSHEET!$B$46</definedName>
    <definedName name="showsheetflag_申請書">dSHEET!$B$41</definedName>
    <definedName name="showsheetflag_水戸市_別添">dSHEET!$B$20</definedName>
    <definedName name="showsheetflag_設計住宅性能評価申請書">dSHEET!$B$39</definedName>
    <definedName name="showsheetflag_設計住宅性能評価申請書H">dSHEET!$B$40</definedName>
    <definedName name="showsheetflag_設申一面">dSHEET!$B$33</definedName>
    <definedName name="showsheetflag_設申二面戸">dSHEET!$B$34</definedName>
    <definedName name="showsheetflag_説明">dSHEET!$B$70</definedName>
    <definedName name="showsheetflag_耐震_一般_S造">dSHEET!$B$51</definedName>
    <definedName name="showsheetflag_耐震_認証_S造">dSHEET!$B$52</definedName>
    <definedName name="showsheetflag_耐震_木造">dSHEET!$B$43</definedName>
    <definedName name="showsheetflag_第一面">dSHEET!$B$61</definedName>
    <definedName name="showsheetflag_第一面_未決定">dSHEET!$B$62</definedName>
    <definedName name="showsheetflag_第三面">dSHEET!$B$64</definedName>
    <definedName name="showsheetflag_第四面">dSHEET!$B$65</definedName>
    <definedName name="showsheetflag_第四面_未決定">dSHEET!$B$66</definedName>
    <definedName name="showsheetflag_第二面">dSHEET!$B$63</definedName>
    <definedName name="showsheetflag_中現申一面">dSHEET!$B$35</definedName>
    <definedName name="showsheetflag_中現申二面">dSHEET!$B$36</definedName>
    <definedName name="showsheetflag_適合申一面">dSHEET!$B$37</definedName>
    <definedName name="showsheetflag_適合申二面戸">dSHEET!$B$38</definedName>
    <definedName name="showsheetflag_日立市_別添">dSHEET!$B$21</definedName>
    <definedName name="showsheetflag_非表示予定">dSHEET!$B$69</definedName>
    <definedName name="showsheetflag_表紙_S造">dSHEET!$B$50</definedName>
    <definedName name="showsheetflag_表紙_木造">dSHEET!$B$42</definedName>
    <definedName name="showsheetflag_防犯_S造">dSHEET!$B$58</definedName>
    <definedName name="showsheetflag_防犯_木造">dSHEET!$B$49</definedName>
    <definedName name="showsheetflag_名義変更届">dSHEET!$B$28</definedName>
    <definedName name="showsheetflag_用途の区分">dSHEET!$B$12</definedName>
    <definedName name="showsheetflag_劣化・維持管理_S造">dSHEET!$B$54</definedName>
    <definedName name="showsheetflag_劣化・維持管理_木造">dSHEET!$B$45</definedName>
    <definedName name="wsflat35_dairi1_POST">DATA!$D$194</definedName>
    <definedName name="wsjob_JOB_KIND">DATA!$D$19</definedName>
    <definedName name="wsjob_JOB_SET_KIND">DATA!$D$12</definedName>
    <definedName name="wsjob_TARGET_KIND">DATA!$D$13</definedName>
    <definedName name="wsjob_TARGET_KIND__label">DATA!$D$11</definedName>
    <definedName name="wskakunin__bouka">DATA!$D$921</definedName>
    <definedName name="wskakunin__kouji">DATA!$D$971</definedName>
    <definedName name="wskakunin__kuiki">DATA!$D$912</definedName>
    <definedName name="wskakunin__tosi_kuiki">DATA!$D$915</definedName>
    <definedName name="wskakunin_20kouzou101_KOUZOUSEKKEI_KOUFU_NO">DATA!$D$489</definedName>
    <definedName name="wskakunin_20kouzou101_NAME">DATA!$D$488</definedName>
    <definedName name="wskakunin_20kouzou102_KOUZOUSEKKEI_KOUFU_NO">DATA!$D$491</definedName>
    <definedName name="wskakunin_20kouzou102_NAME">DATA!$D$490</definedName>
    <definedName name="wskakunin_20kouzou103_KOUZOUSEKKEI_KOUFU_NO">DATA!$D$493</definedName>
    <definedName name="wskakunin_20kouzou103_NAME">DATA!$D$492</definedName>
    <definedName name="wskakunin_20kouzou104_KOUZOUSEKKEI_KOUFU_NO">DATA!$D$495</definedName>
    <definedName name="wskakunin_20kouzou104_NAME">DATA!$D$494</definedName>
    <definedName name="wskakunin_20kouzou105_KOUZOUSEKKEI_KOUFU_NO">DATA!$D$497</definedName>
    <definedName name="wskakunin_20kouzou105_NAME">DATA!$D$496</definedName>
    <definedName name="wskakunin_20kouzou301_KOUZOUSEKKEI_KOUFU_NO">DATA!$D$501</definedName>
    <definedName name="wskakunin_20kouzou301_NAME">DATA!$D$500</definedName>
    <definedName name="wskakunin_20kouzou302_KOUZOUSEKKEI_KOUFU_NO">DATA!$D$503</definedName>
    <definedName name="wskakunin_20kouzou302_NAME">DATA!$D$502</definedName>
    <definedName name="wskakunin_20kouzou303_KOUZOUSEKKEI_KOUFU_NO">DATA!$D$505</definedName>
    <definedName name="wskakunin_20kouzou303_NAME">DATA!$D$504</definedName>
    <definedName name="wskakunin_20kouzou304_KOUZOUSEKKEI_KOUFU_NO">DATA!$D$507</definedName>
    <definedName name="wskakunin_20kouzou304_NAME">DATA!$D$506</definedName>
    <definedName name="wskakunin_20kouzou305_KOUZOUSEKKEI_KOUFU_NO">DATA!$D$509</definedName>
    <definedName name="wskakunin_20kouzou305_NAME">DATA!$D$508</definedName>
    <definedName name="wskakunin_20setubi101_NAME">DATA!$D$512</definedName>
    <definedName name="wskakunin_20setubi101_SETUBISEKKEI_KOUFU_NO">DATA!$D$513</definedName>
    <definedName name="wskakunin_20setubi102_NAME">DATA!$D$514</definedName>
    <definedName name="wskakunin_20setubi102_SETUBISEKKEI_KOUFU_NO">DATA!$D$515</definedName>
    <definedName name="wskakunin_20setubi103_NAME">DATA!$D$516</definedName>
    <definedName name="wskakunin_20setubi103_SETUBISEKKEI_KOUFU_NO">DATA!$D$517</definedName>
    <definedName name="wskakunin_20setubi104_NAME">DATA!$D$518</definedName>
    <definedName name="wskakunin_20setubi104_SETUBISEKKEI_KOUFU_NO">DATA!$D$519</definedName>
    <definedName name="wskakunin_20setubi105_NAME">DATA!$D$520</definedName>
    <definedName name="wskakunin_20setubi105_SETUBISEKKEI_KOUFU_NO">DATA!$D$521</definedName>
    <definedName name="wskakunin_20setubi301_NAME">DATA!$D$524</definedName>
    <definedName name="wskakunin_20setubi301_SETUBISEKKEI_KOUFU_NO">DATA!$D$525</definedName>
    <definedName name="wskakunin_20setubi302_NAME">DATA!$D$526</definedName>
    <definedName name="wskakunin_20setubi302_SETUBISEKKEI_KOUFU_NO">DATA!$D$527</definedName>
    <definedName name="wskakunin_20setubi303_NAME">DATA!$D$528</definedName>
    <definedName name="wskakunin_20setubi303_SETUBISEKKEI_KOUFU_NO">DATA!$D$529</definedName>
    <definedName name="wskakunin_20setubi304_NAME">DATA!$D$530</definedName>
    <definedName name="wskakunin_20setubi304_SETUBISEKKEI_KOUFU_NO">DATA!$D$531</definedName>
    <definedName name="wskakunin_20setubi305_NAME">DATA!$D$532</definedName>
    <definedName name="wskakunin_20setubi305_SETUBISEKKEI_KOUFU_NO">DATA!$D$533</definedName>
    <definedName name="wskakunin_APPLICANT_NAME">DATA!$D$71</definedName>
    <definedName name="wskakunin_BOUKA_22JYO">DATA!$D$925</definedName>
    <definedName name="wskakunin_BOUKA_BOUKA">DATA!$D$922</definedName>
    <definedName name="wskakunin_BOUKA_JYUN_BOUKA">DATA!$D$923</definedName>
    <definedName name="wskakunin_BOUKA_NASI">DATA!$D$924</definedName>
    <definedName name="wskakunin_BOUKA_SETUBI_FLAG">DATA!$D$1170</definedName>
    <definedName name="wskakunin_BUILD__address">DATA!$D$901</definedName>
    <definedName name="wskakunin_BUILD_ADDRESS">DATA!$D$903</definedName>
    <definedName name="wskakunin_BUILD_JYUKYO__address">DATA!$D$906</definedName>
    <definedName name="wskakunin_BUILD_JYUKYO_ADDRESS">DATA!$D$908</definedName>
    <definedName name="wskakunin_BUILD_JYUKYO_KEN__ken">DATA!$D$907</definedName>
    <definedName name="wskakunin_BUILD_KEN__ken">DATA!$D$902</definedName>
    <definedName name="wskakunin_BUILD_NAME">DATA!$D$837</definedName>
    <definedName name="wskakunin_BUILD_NAME_KANA">DATA!$D$838</definedName>
    <definedName name="wskakunin_BUILD_SHINSEI_COUNT">DATA!$D$1085</definedName>
    <definedName name="wskakunin_BUILD_SONOTA_COUNT">DATA!$D$1086</definedName>
    <definedName name="wskakunin_dairi1__address">DATA!$D$204</definedName>
    <definedName name="wskakunin_dairi1__sikaku">DATA!$D$190</definedName>
    <definedName name="wskakunin_dairi1_FAX">DATA!$D$206</definedName>
    <definedName name="wskakunin_dairi1_JIMU__sikaku">DATA!$D$198</definedName>
    <definedName name="wskakunin_dairi1_JIMU_NAME">DATA!$D$202</definedName>
    <definedName name="wskakunin_dairi1_JIMU_NO">DATA!$D$201</definedName>
    <definedName name="wskakunin_dairi1_JIMU_SIKAKU__label">DATA!$D$199</definedName>
    <definedName name="wskakunin_dairi1_JIMU_TOUROKU_KIKAN__label">DATA!$D$200</definedName>
    <definedName name="wskakunin_dairi1_KENTIKUSI_NO">DATA!$D$193</definedName>
    <definedName name="wskakunin_dairi1_NAME">DATA!$D$195</definedName>
    <definedName name="wskakunin_dairi1_NAME_KANA">DATA!$D$197</definedName>
    <definedName name="wskakunin_dairi1_SIKAKU__label">DATA!$D$191</definedName>
    <definedName name="wskakunin_dairi1_TEL">DATA!$D$205</definedName>
    <definedName name="wskakunin_dairi1_TOUROKU_KIKAN__label">DATA!$D$192</definedName>
    <definedName name="wskakunin_dairi1_ZIP">DATA!$D$203</definedName>
    <definedName name="wskakunin_dairi2__address">DATA!$D$223</definedName>
    <definedName name="wskakunin_dairi2__sikaku">DATA!$D$211</definedName>
    <definedName name="wskakunin_dairi2_FAX">DATA!$D$225</definedName>
    <definedName name="wskakunin_dairi2_JIMU__sikaku">DATA!$D$217</definedName>
    <definedName name="wskakunin_dairi2_JIMU_NAME">DATA!$D$221</definedName>
    <definedName name="wskakunin_dairi2_JIMU_NO">DATA!$D$220</definedName>
    <definedName name="wskakunin_dairi2_JIMU_SIKAKU__label">DATA!$D$218</definedName>
    <definedName name="wskakunin_dairi2_JIMU_TOUROKU_KIKAN__label">DATA!$D$219</definedName>
    <definedName name="wskakunin_dairi2_KENTIKUSI_NO">DATA!$D$214</definedName>
    <definedName name="wskakunin_dairi2_NAME">DATA!$D$215</definedName>
    <definedName name="wskakunin_dairi2_NAME_KANA">DATA!$D$216</definedName>
    <definedName name="wskakunin_dairi2_SIKAKU__label">DATA!$D$212</definedName>
    <definedName name="wskakunin_dairi2_TEL">DATA!$D$224</definedName>
    <definedName name="wskakunin_dairi2_TOUROKU_KIKAN__label">DATA!$D$213</definedName>
    <definedName name="wskakunin_dairi2_ZIP">DATA!$D$222</definedName>
    <definedName name="wskakunin_dairi3__address">DATA!$D$241</definedName>
    <definedName name="wskakunin_dairi3__sikaku">DATA!$D$229</definedName>
    <definedName name="wskakunin_dairi3_FAX">DATA!$D$243</definedName>
    <definedName name="wskakunin_dairi3_JIMU__sikaku">DATA!$D$235</definedName>
    <definedName name="wskakunin_dairi3_JIMU_NAME">DATA!$D$239</definedName>
    <definedName name="wskakunin_dairi3_JIMU_NO">DATA!$D$238</definedName>
    <definedName name="wskakunin_dairi3_JIMU_SIKAKU__label">DATA!$D$236</definedName>
    <definedName name="wskakunin_dairi3_JIMU_TOUROKU_KIKAN__label">DATA!$D$237</definedName>
    <definedName name="wskakunin_dairi3_KENTIKUSI_NO">DATA!$D$232</definedName>
    <definedName name="wskakunin_dairi3_NAME">DATA!$D$233</definedName>
    <definedName name="wskakunin_dairi3_NAME_KANA">DATA!$D$234</definedName>
    <definedName name="wskakunin_dairi3_SIKAKU__label">DATA!$D$230</definedName>
    <definedName name="wskakunin_dairi3_TEL">DATA!$D$242</definedName>
    <definedName name="wskakunin_dairi3_TOUROKU_KIKAN__label">DATA!$D$231</definedName>
    <definedName name="wskakunin_dairi3_ZIP">DATA!$D$240</definedName>
    <definedName name="wskakunin_dairi4__address">DATA!$D$259</definedName>
    <definedName name="wskakunin_dairi4__sikaku">DATA!$D$247</definedName>
    <definedName name="wskakunin_dairi4_FAX">DATA!$D$261</definedName>
    <definedName name="wskakunin_dairi4_JIMU__sikaku">DATA!$D$253</definedName>
    <definedName name="wskakunin_dairi4_JIMU_NAME">DATA!$D$257</definedName>
    <definedName name="wskakunin_dairi4_JIMU_NO">DATA!$D$256</definedName>
    <definedName name="wskakunin_dairi4_JIMU_SIKAKU__label">DATA!$D$254</definedName>
    <definedName name="wskakunin_dairi4_JIMU_TOUROKU_KIKAN__label">DATA!$D$255</definedName>
    <definedName name="wskakunin_dairi4_KENTIKUSI_NO">DATA!$D$250</definedName>
    <definedName name="wskakunin_dairi4_NAME">DATA!$D$251</definedName>
    <definedName name="wskakunin_dairi4_NAME_KANA">DATA!$D$252</definedName>
    <definedName name="wskakunin_dairi4_SIKAKU__label">DATA!$D$248</definedName>
    <definedName name="wskakunin_dairi4_TEL">DATA!$D$260</definedName>
    <definedName name="wskakunin_dairi4_TOUROKU_KIKAN__label">DATA!$D$249</definedName>
    <definedName name="wskakunin_dairi4_ZIP">DATA!$D$258</definedName>
    <definedName name="wskakunin_dairi5__address">DATA!$D$277</definedName>
    <definedName name="wskakunin_dairi5__sikaku">DATA!$D$265</definedName>
    <definedName name="wskakunin_dairi5_FAX">DATA!$D$279</definedName>
    <definedName name="wskakunin_dairi5_JIMU__sikaku">DATA!$D$271</definedName>
    <definedName name="wskakunin_dairi5_JIMU_NAME">DATA!$D$275</definedName>
    <definedName name="wskakunin_dairi5_JIMU_NO">DATA!$D$274</definedName>
    <definedName name="wskakunin_dairi5_JIMU_SIKAKU__label">DATA!$D$272</definedName>
    <definedName name="wskakunin_dairi5_JIMU_TOUROKU_KIKAN__label">DATA!$D$273</definedName>
    <definedName name="wskakunin_dairi5_KENTIKUSI_NO">DATA!$D$268</definedName>
    <definedName name="wskakunin_dairi5_NAME">DATA!$D$269</definedName>
    <definedName name="wskakunin_dairi5_NAME_KANA">DATA!$D$270</definedName>
    <definedName name="wskakunin_dairi5_SIKAKU__label">DATA!$D$266</definedName>
    <definedName name="wskakunin_dairi5_TEL">DATA!$D$278</definedName>
    <definedName name="wskakunin_dairi5_TOUROKU_KIKAN__label">DATA!$D$267</definedName>
    <definedName name="wskakunin_dairi5_ZIP">DATA!$D$276</definedName>
    <definedName name="wskakunin_DOURO_FUKUIN">DATA!$D$930</definedName>
    <definedName name="wskakunin_DOURO_NAGASA">DATA!$D$931</definedName>
    <definedName name="wskakunin_ecotekihan01_FUYOU_CAUSE">DATA!$D$867</definedName>
    <definedName name="wskakunin_ecotekihan01_TEKIHAN_KIKAN_ADDRESS">DATA!$D$863</definedName>
    <definedName name="wskakunin_ecotekihan01_TEKIHAN_KIKAN_KEN__ken">DATA!$D$862</definedName>
    <definedName name="wskakunin_ecotekihan01_TEKIHAN_KIKAN_NAME">DATA!$D$861</definedName>
    <definedName name="wskakunin_ecotekihan01_TEKIHAN_STATE">DATA!$D$857</definedName>
    <definedName name="wskakunin_gaiyou1_EV_KIND">DATA!$D$1002</definedName>
    <definedName name="wskakunin_gaiyou1_KOUJI_KAITIKU">DATA!$D$989</definedName>
    <definedName name="wskakunin_gaiyou1_KOUJI_SINTIKU">DATA!$D$987</definedName>
    <definedName name="wskakunin_gaiyou1_KOUJI_SONOTA">DATA!$D$990</definedName>
    <definedName name="wskakunin_gaiyou1_KOUJI_SONOTA_TEXT">DATA!$D$991</definedName>
    <definedName name="wskakunin_gaiyou1_KOUJI_ZOUTIKU">DATA!$D$988</definedName>
    <definedName name="wskakunin_gaiyou1_KOUZOU">DATA!$D$986</definedName>
    <definedName name="wskakunin_gaiyou1_NINSYOU_NO">DATA!$D$1008</definedName>
    <definedName name="wskakunin_gaiyou1_NO">DATA!$D$1001</definedName>
    <definedName name="wskakunin_gaiyou1_SEKISAI">DATA!$D$1004</definedName>
    <definedName name="wskakunin_gaiyou1_SONOTA">DATA!$D$1007</definedName>
    <definedName name="wskakunin_gaiyou1_SONOTA_and_NINSYOU_NO">DATA!$D$1009</definedName>
    <definedName name="wskakunin_gaiyou1_SPEED">DATA!$D$1006</definedName>
    <definedName name="wskakunin_gaiyou1_TAKASA">DATA!$D$985</definedName>
    <definedName name="wskakunin_gaiyou1_TEIIN">DATA!$D$1005</definedName>
    <definedName name="wskakunin_gaiyou1_TIKUZOU_MENSEKI_IGAI">DATA!$D$994</definedName>
    <definedName name="wskakunin_gaiyou1_TIKUZOU_MENSEKI_SHINSEI">DATA!$D$993</definedName>
    <definedName name="wskakunin_gaiyou1_TIKUZOU_MENSEKI_TOTAL">DATA!$D$995</definedName>
    <definedName name="wskakunin_gaiyou1_WORK_COUNT_IGAI">DATA!$D$997</definedName>
    <definedName name="wskakunin_gaiyou1_WORK_COUNT_SHINSEI">DATA!$D$996</definedName>
    <definedName name="wskakunin_gaiyou1_WORK_COUNT_TOTAL">DATA!$D$998</definedName>
    <definedName name="wskakunin_gaiyou1_WORK_SYURUI">DATA!$D$984</definedName>
    <definedName name="wskakunin_gaiyou1_WORK_SYURUI_CODE">DATA!$D$983</definedName>
    <definedName name="wskakunin_gaiyou1_YOUTO">DATA!$D$1003</definedName>
    <definedName name="wskakunin_iken1__address">DATA!$D$540</definedName>
    <definedName name="wskakunin_iken1_DOC">DATA!$D$543</definedName>
    <definedName name="wskakunin_iken1_IKEN_NO">DATA!$D$542</definedName>
    <definedName name="wskakunin_iken1_JIMU_NAME">DATA!$D$538</definedName>
    <definedName name="wskakunin_iken1_NAME">DATA!$D$537</definedName>
    <definedName name="wskakunin_iken1_TEL">DATA!$D$541</definedName>
    <definedName name="wskakunin_iken1_ZIP">DATA!$D$539</definedName>
    <definedName name="wskakunin_iken2__address">DATA!$D$549</definedName>
    <definedName name="wskakunin_iken2_DOC">DATA!$D$552</definedName>
    <definedName name="wskakunin_iken2_IKEN_NO">DATA!$D$551</definedName>
    <definedName name="wskakunin_iken2_JIMU_NAME">DATA!$D$547</definedName>
    <definedName name="wskakunin_iken2_NAME">DATA!$D$546</definedName>
    <definedName name="wskakunin_iken2_TEL">DATA!$D$550</definedName>
    <definedName name="wskakunin_iken2_ZIP">DATA!$D$548</definedName>
    <definedName name="wskakunin_iken3__address">DATA!$D$558</definedName>
    <definedName name="wskakunin_iken3_DOC">DATA!$D$561</definedName>
    <definedName name="wskakunin_iken3_IKEN_NO">DATA!$D$560</definedName>
    <definedName name="wskakunin_iken3_JIMU_NAME">DATA!$D$556</definedName>
    <definedName name="wskakunin_iken3_NAME">DATA!$D$555</definedName>
    <definedName name="wskakunin_iken3_TEL">DATA!$D$559</definedName>
    <definedName name="wskakunin_iken3_ZIP">DATA!$D$557</definedName>
    <definedName name="wskakunin_iken4__address">DATA!$D$567</definedName>
    <definedName name="wskakunin_iken4_DOC">DATA!$D$570</definedName>
    <definedName name="wskakunin_iken4_IKEN_NO">DATA!$D$569</definedName>
    <definedName name="wskakunin_iken4_JIMU_NAME">DATA!$D$565</definedName>
    <definedName name="wskakunin_iken4_NAME">DATA!$D$564</definedName>
    <definedName name="wskakunin_iken4_TEL">DATA!$D$568</definedName>
    <definedName name="wskakunin_iken4_ZIP">DATA!$D$566</definedName>
    <definedName name="wskakunin_iken5__address">DATA!$D$575</definedName>
    <definedName name="wskakunin_iken5_DOC">DATA!$D$578</definedName>
    <definedName name="wskakunin_iken5_IKEN_NO">DATA!$D$577</definedName>
    <definedName name="wskakunin_iken5_JIMU_NAME">DATA!$D$573</definedName>
    <definedName name="wskakunin_iken5_NAME">DATA!$D$572</definedName>
    <definedName name="wskakunin_iken5_TEL">DATA!$D$576</definedName>
    <definedName name="wskakunin_iken5_ZIP">DATA!$D$574</definedName>
    <definedName name="wskakunin_KAISU_TIJYOU_SHINSEI">DATA!$D$1093</definedName>
    <definedName name="wskakunin_KAISU_TIJYOU_SONOTA">DATA!$D$1094</definedName>
    <definedName name="wskakunin_KAISU_TIKA_SHINSEI__zero">DATA!$D$1096</definedName>
    <definedName name="wskakunin_KAISU_TIKA_SONOTA">DATA!$D$1097</definedName>
    <definedName name="wskakunin_kanri1__address">DATA!$D$593</definedName>
    <definedName name="wskakunin_kanri1__sikaku">DATA!$D$581</definedName>
    <definedName name="wskakunin_kanri1_DOC">DATA!$D$595</definedName>
    <definedName name="wskakunin_kanri1_JIMU__sikaku">DATA!$D$586</definedName>
    <definedName name="wskakunin_kanri1_JIMU_NAME">DATA!$D$590</definedName>
    <definedName name="wskakunin_kanri1_JIMU_NO">DATA!$D$589</definedName>
    <definedName name="wskakunin_kanri1_JIMU_SIKAKU__label">DATA!$D$587</definedName>
    <definedName name="wskakunin_kanri1_JIMU_TOUROKU_KIKAN__label">DATA!$D$588</definedName>
    <definedName name="wskakunin_kanri1_KENTIKUSI_NO">DATA!$D$584</definedName>
    <definedName name="wskakunin_kanri1_NAME">DATA!$D$585</definedName>
    <definedName name="wskakunin_kanri1_SIKAKU__label">DATA!$D$582</definedName>
    <definedName name="wskakunin_kanri1_TEL">DATA!$D$594</definedName>
    <definedName name="wskakunin_kanri1_TOUROKU_KIKAN__label">DATA!$D$583</definedName>
    <definedName name="wskakunin_kanri1_ZIP">DATA!$D$591</definedName>
    <definedName name="wskakunin_kanri10__address">DATA!$D$737</definedName>
    <definedName name="wskakunin_kanri10__sikaku">DATA!$D$726</definedName>
    <definedName name="wskakunin_kanri10_DOC">DATA!$D$739</definedName>
    <definedName name="wskakunin_kanri10_JIMU__sikaku">DATA!$D$731</definedName>
    <definedName name="wskakunin_kanri10_JIMU_NAME">DATA!$D$735</definedName>
    <definedName name="wskakunin_kanri10_JIMU_NO">DATA!$D$734</definedName>
    <definedName name="wskakunin_kanri10_JIMU_SIKAKU__label">DATA!$D$732</definedName>
    <definedName name="wskakunin_kanri10_JIMU_TOUROKU_KIKAN__label">DATA!$D$733</definedName>
    <definedName name="wskakunin_kanri10_KENTIKUSI_NO">DATA!$D$729</definedName>
    <definedName name="wskakunin_kanri10_NAME">DATA!$D$730</definedName>
    <definedName name="wskakunin_kanri10_SIKAKU__label">DATA!$D$727</definedName>
    <definedName name="wskakunin_kanri10_TEL">DATA!$D$738</definedName>
    <definedName name="wskakunin_kanri10_TOUROKU_KIKAN__label">DATA!$D$728</definedName>
    <definedName name="wskakunin_kanri10_ZIP">DATA!$D$736</definedName>
    <definedName name="wskakunin_kanri11__address">DATA!$D$753</definedName>
    <definedName name="wskakunin_kanri11__sikaku">DATA!$D$742</definedName>
    <definedName name="wskakunin_kanri11_DOC">DATA!$D$755</definedName>
    <definedName name="wskakunin_kanri11_JIMU__sikaku">DATA!$D$747</definedName>
    <definedName name="wskakunin_kanri11_JIMU_NAME">DATA!$D$751</definedName>
    <definedName name="wskakunin_kanri11_JIMU_NO">DATA!$D$750</definedName>
    <definedName name="wskakunin_kanri11_JIMU_SIKAKU__label">DATA!$D$748</definedName>
    <definedName name="wskakunin_kanri11_JIMU_TOUROKU_KIKAN__label">DATA!$D$749</definedName>
    <definedName name="wskakunin_kanri11_KENTIKUSI_NO">DATA!$D$745</definedName>
    <definedName name="wskakunin_kanri11_NAME">DATA!$D$746</definedName>
    <definedName name="wskakunin_kanri11_SIKAKU__label">DATA!$D$743</definedName>
    <definedName name="wskakunin_kanri11_TEL">DATA!$D$754</definedName>
    <definedName name="wskakunin_kanri11_TOUROKU_KIKAN__label">DATA!$D$744</definedName>
    <definedName name="wskakunin_kanri11_ZIP">DATA!$D$752</definedName>
    <definedName name="wskakunin_kanri12__address">DATA!$D$769</definedName>
    <definedName name="wskakunin_kanri12__sikaku">DATA!$D$758</definedName>
    <definedName name="wskakunin_kanri12_DOC">DATA!$D$771</definedName>
    <definedName name="wskakunin_kanri12_JIMU__sikaku">DATA!$D$763</definedName>
    <definedName name="wskakunin_kanri12_JIMU_NAME">DATA!$D$767</definedName>
    <definedName name="wskakunin_kanri12_JIMU_NO">DATA!$D$766</definedName>
    <definedName name="wskakunin_kanri12_JIMU_SIKAKU__label">DATA!$D$764</definedName>
    <definedName name="wskakunin_kanri12_JIMU_TOUROKU_KIKAN__label">DATA!$D$765</definedName>
    <definedName name="wskakunin_kanri12_KENTIKUSI_NO">DATA!$D$761</definedName>
    <definedName name="wskakunin_kanri12_NAME">DATA!$D$762</definedName>
    <definedName name="wskakunin_kanri12_SIKAKU__label">DATA!$D$759</definedName>
    <definedName name="wskakunin_kanri12_TEL">DATA!$D$770</definedName>
    <definedName name="wskakunin_kanri12_TOUROKU_KIKAN__label">DATA!$D$760</definedName>
    <definedName name="wskakunin_kanri12_ZIP">DATA!$D$768</definedName>
    <definedName name="wskakunin_kanri2__address">DATA!$D$609</definedName>
    <definedName name="wskakunin_kanri2__sikaku">DATA!$D$598</definedName>
    <definedName name="wskakunin_kanri2_DOC">DATA!$D$611</definedName>
    <definedName name="wskakunin_kanri2_JIMU__sikaku">DATA!$D$603</definedName>
    <definedName name="wskakunin_kanri2_JIMU_NAME">DATA!$D$607</definedName>
    <definedName name="wskakunin_kanri2_JIMU_NO">DATA!$D$606</definedName>
    <definedName name="wskakunin_kanri2_JIMU_SIKAKU__label">DATA!$D$604</definedName>
    <definedName name="wskakunin_kanri2_JIMU_TOUROKU_KIKAN__label">DATA!$D$605</definedName>
    <definedName name="wskakunin_kanri2_KENTIKUSI_NO">DATA!$D$601</definedName>
    <definedName name="wskakunin_kanri2_NAME">DATA!$D$602</definedName>
    <definedName name="wskakunin_kanri2_SIKAKU__label">DATA!$D$599</definedName>
    <definedName name="wskakunin_kanri2_TEL">DATA!$D$610</definedName>
    <definedName name="wskakunin_kanri2_TOUROKU_KIKAN__label">DATA!$D$600</definedName>
    <definedName name="wskakunin_kanri2_ZIP">DATA!$D$608</definedName>
    <definedName name="wskakunin_kanri3__address">DATA!$D$625</definedName>
    <definedName name="wskakunin_kanri3__sikaku">DATA!$D$614</definedName>
    <definedName name="wskakunin_kanri3_DOC">DATA!$D$627</definedName>
    <definedName name="wskakunin_kanri3_JIMU__sikaku">DATA!$D$619</definedName>
    <definedName name="wskakunin_kanri3_JIMU_NAME">DATA!$D$623</definedName>
    <definedName name="wskakunin_kanri3_JIMU_NO">DATA!$D$622</definedName>
    <definedName name="wskakunin_kanri3_JIMU_SIKAKU__label">DATA!$D$620</definedName>
    <definedName name="wskakunin_kanri3_JIMU_TOUROKU_KIKAN__label">DATA!$D$621</definedName>
    <definedName name="wskakunin_kanri3_KENTIKUSI_NO">DATA!$D$617</definedName>
    <definedName name="wskakunin_kanri3_NAME">DATA!$D$618</definedName>
    <definedName name="wskakunin_kanri3_SIKAKU__label">DATA!$D$615</definedName>
    <definedName name="wskakunin_kanri3_TEL">DATA!$D$626</definedName>
    <definedName name="wskakunin_kanri3_TOUROKU_KIKAN__label">DATA!$D$616</definedName>
    <definedName name="wskakunin_kanri3_ZIP">DATA!$D$624</definedName>
    <definedName name="wskakunin_kanri4__address">DATA!$D$641</definedName>
    <definedName name="wskakunin_kanri4__sikaku">DATA!$D$630</definedName>
    <definedName name="wskakunin_kanri4_DOC">DATA!$D$643</definedName>
    <definedName name="wskakunin_kanri4_JIMU__sikaku">DATA!$D$635</definedName>
    <definedName name="wskakunin_kanri4_JIMU_NAME">DATA!$D$639</definedName>
    <definedName name="wskakunin_kanri4_JIMU_NO">DATA!$D$638</definedName>
    <definedName name="wskakunin_kanri4_JIMU_SIKAKU__label">DATA!$D$636</definedName>
    <definedName name="wskakunin_kanri4_JIMU_TOUROKU_KIKAN__label">DATA!$D$637</definedName>
    <definedName name="wskakunin_kanri4_KENTIKUSI_NO">DATA!$D$633</definedName>
    <definedName name="wskakunin_kanri4_NAME">DATA!$D$634</definedName>
    <definedName name="wskakunin_kanri4_SIKAKU__label">DATA!$D$631</definedName>
    <definedName name="wskakunin_kanri4_TEL">DATA!$D$642</definedName>
    <definedName name="wskakunin_kanri4_TOUROKU_KIKAN__label">DATA!$D$632</definedName>
    <definedName name="wskakunin_kanri4_ZIP">DATA!$D$640</definedName>
    <definedName name="wskakunin_kanri5__address">DATA!$D$657</definedName>
    <definedName name="wskakunin_kanri5__sikaku">DATA!$D$646</definedName>
    <definedName name="wskakunin_kanri5_DOC">DATA!$D$659</definedName>
    <definedName name="wskakunin_kanri5_JIMU__sikaku">DATA!$D$651</definedName>
    <definedName name="wskakunin_kanri5_JIMU_NAME">DATA!$D$655</definedName>
    <definedName name="wskakunin_kanri5_JIMU_NO">DATA!$D$654</definedName>
    <definedName name="wskakunin_kanri5_JIMU_SIKAKU__label">DATA!$D$652</definedName>
    <definedName name="wskakunin_kanri5_JIMU_TOUROKU_KIKAN__label">DATA!$D$653</definedName>
    <definedName name="wskakunin_kanri5_KENTIKUSI_NO">DATA!$D$649</definedName>
    <definedName name="wskakunin_kanri5_NAME">DATA!$D$650</definedName>
    <definedName name="wskakunin_kanri5_SIKAKU__label">DATA!$D$647</definedName>
    <definedName name="wskakunin_kanri5_TEL">DATA!$D$658</definedName>
    <definedName name="wskakunin_kanri5_TOUROKU_KIKAN__label">DATA!$D$648</definedName>
    <definedName name="wskakunin_kanri5_ZIP">DATA!$D$656</definedName>
    <definedName name="wskakunin_kanri6__address">DATA!$D$673</definedName>
    <definedName name="wskakunin_kanri6__sikaku">DATA!$D$662</definedName>
    <definedName name="wskakunin_kanri6_DOC">DATA!$D$675</definedName>
    <definedName name="wskakunin_kanri6_JIMU__sikaku">DATA!$D$667</definedName>
    <definedName name="wskakunin_kanri6_JIMU_NAME">DATA!$D$671</definedName>
    <definedName name="wskakunin_kanri6_JIMU_NO">DATA!$D$670</definedName>
    <definedName name="wskakunin_kanri6_JIMU_SIKAKU__label">DATA!$D$668</definedName>
    <definedName name="wskakunin_kanri6_JIMU_TOUROKU_KIKAN__label">DATA!$D$669</definedName>
    <definedName name="wskakunin_kanri6_KENTIKUSI_NO">DATA!$D$665</definedName>
    <definedName name="wskakunin_kanri6_NAME">DATA!$D$666</definedName>
    <definedName name="wskakunin_kanri6_SIKAKU__label">DATA!$D$663</definedName>
    <definedName name="wskakunin_kanri6_TEL">DATA!$D$674</definedName>
    <definedName name="wskakunin_kanri6_TOUROKU_KIKAN__label">DATA!$D$664</definedName>
    <definedName name="wskakunin_kanri6_ZIP">DATA!$D$672</definedName>
    <definedName name="wskakunin_kanri7__address">DATA!$D$689</definedName>
    <definedName name="wskakunin_kanri7__sikaku">DATA!$D$678</definedName>
    <definedName name="wskakunin_kanri7_DOC">DATA!$D$691</definedName>
    <definedName name="wskakunin_kanri7_JIMU__sikaku">DATA!$D$683</definedName>
    <definedName name="wskakunin_kanri7_JIMU_NAME">DATA!$D$687</definedName>
    <definedName name="wskakunin_kanri7_JIMU_NO">DATA!$D$686</definedName>
    <definedName name="wskakunin_kanri7_JIMU_SIKAKU__label">DATA!$D$684</definedName>
    <definedName name="wskakunin_kanri7_JIMU_TOUROKU_KIKAN__label">DATA!$D$685</definedName>
    <definedName name="wskakunin_kanri7_KENTIKUSI_NO">DATA!$D$681</definedName>
    <definedName name="wskakunin_kanri7_NAME">DATA!$D$682</definedName>
    <definedName name="wskakunin_kanri7_SIKAKU__label">DATA!$D$679</definedName>
    <definedName name="wskakunin_kanri7_TEL">DATA!$D$690</definedName>
    <definedName name="wskakunin_kanri7_TOUROKU_KIKAN__label">DATA!$D$680</definedName>
    <definedName name="wskakunin_kanri7_ZIP">DATA!$D$688</definedName>
    <definedName name="wskakunin_kanri8__address">DATA!$D$705</definedName>
    <definedName name="wskakunin_kanri8__sikaku">DATA!$D$694</definedName>
    <definedName name="wskakunin_kanri8_DOC">DATA!$D$707</definedName>
    <definedName name="wskakunin_kanri8_JIMU__sikaku">DATA!$D$699</definedName>
    <definedName name="wskakunin_kanri8_JIMU_NAME">DATA!$D$703</definedName>
    <definedName name="wskakunin_kanri8_JIMU_NO">DATA!$D$702</definedName>
    <definedName name="wskakunin_kanri8_JIMU_SIKAKU__label">DATA!$D$700</definedName>
    <definedName name="wskakunin_kanri8_JIMU_TOUROKU_KIKAN__label">DATA!$D$701</definedName>
    <definedName name="wskakunin_kanri8_KENTIKUSI_NO">DATA!$D$697</definedName>
    <definedName name="wskakunin_kanri8_NAME">DATA!$D$698</definedName>
    <definedName name="wskakunin_kanri8_SIKAKU__label">DATA!$D$695</definedName>
    <definedName name="wskakunin_kanri8_TEL">DATA!$D$706</definedName>
    <definedName name="wskakunin_kanri8_TOUROKU_KIKAN__label">DATA!$D$696</definedName>
    <definedName name="wskakunin_kanri8_ZIP">DATA!$D$704</definedName>
    <definedName name="wskakunin_kanri9__address">DATA!$D$721</definedName>
    <definedName name="wskakunin_kanri9__sikaku">DATA!$D$710</definedName>
    <definedName name="wskakunin_kanri9_DOC">DATA!$D$723</definedName>
    <definedName name="wskakunin_kanri9_JIMU__sikaku">DATA!$D$715</definedName>
    <definedName name="wskakunin_kanri9_JIMU_NAME">DATA!$D$719</definedName>
    <definedName name="wskakunin_kanri9_JIMU_NO">DATA!$D$718</definedName>
    <definedName name="wskakunin_kanri9_JIMU_SIKAKU__label">DATA!$D$716</definedName>
    <definedName name="wskakunin_kanri9_JIMU_TOUROKU_KIKAN__label">DATA!$D$717</definedName>
    <definedName name="wskakunin_kanri9_KENTIKUSI_NO">DATA!$D$713</definedName>
    <definedName name="wskakunin_kanri9_NAME">DATA!$D$714</definedName>
    <definedName name="wskakunin_kanri9_SIKAKU__label">DATA!$D$711</definedName>
    <definedName name="wskakunin_kanri9_TEL">DATA!$D$722</definedName>
    <definedName name="wskakunin_kanri9_TOUROKU_KIKAN__label">DATA!$D$712</definedName>
    <definedName name="wskakunin_kanri9_ZIP">DATA!$D$720</definedName>
    <definedName name="wskakunin_keibi_henkou01_HENKOU_GAIYOU">DATA!$D$1293</definedName>
    <definedName name="wskakunin_keibi_henkou01_HENKOU_SYURUI">DATA!$D$1292</definedName>
    <definedName name="wskakunin_KENPEI_RITU">DATA!$D$1015</definedName>
    <definedName name="wskakunin_KENPEI_RITU_A">DATA!$D$954</definedName>
    <definedName name="wskakunin_KENPEI_RITU_B">DATA!$D$955</definedName>
    <definedName name="wskakunin_KENPEI_RITU_C">DATA!$D$956</definedName>
    <definedName name="wskakunin_KENPEI_RITU_D">DATA!$D$957</definedName>
    <definedName name="wskakunin_KENSA_YUKA_MENSEKI">DATA!$D$1201</definedName>
    <definedName name="wskakunin_KENTIKU_MENSEKI_IGAI">DATA!$D$1013</definedName>
    <definedName name="wskakunin_KENTIKU_MENSEKI_SHINSEI">DATA!$D$1012</definedName>
    <definedName name="wskakunin_KENTIKU_MENSEKI_TOTAL">DATA!$D$1014</definedName>
    <definedName name="wskakunin_KENTIKU_NINSYO_NO">DATA!$D$1189</definedName>
    <definedName name="wskakunin_KIKAN_NAME">DATA!$D$54</definedName>
    <definedName name="wskakunin_KOUJI_DAI_MOYOUGAE">DATA!$D$978</definedName>
    <definedName name="wskakunin_KOUJI_DAI_SYUUZEN">DATA!$D$977</definedName>
    <definedName name="wskakunin_KOUJI_ITEN">DATA!$D$975</definedName>
    <definedName name="wskakunin_KOUJI_KAITIKU">DATA!$D$974</definedName>
    <definedName name="wskakunin_KOUJI_KANRYOU_DATE">DATA!$D$1296</definedName>
    <definedName name="wskakunin_KOUJI_KANRYOU_YOTEI_DATE">DATA!$D$1143</definedName>
    <definedName name="wskakunin_KOUJI_SINTIKU">DATA!$D$972</definedName>
    <definedName name="wskakunin_KOUJI_TYAKUSYU_DATE">DATA!$D$1191</definedName>
    <definedName name="wskakunin_KOUJI_TYAKUSYU_YOTEI_DATE">DATA!$D$1141</definedName>
    <definedName name="wskakunin_KOUJI_YOUTOHENKOU">DATA!$D$976</definedName>
    <definedName name="wskakunin_KOUJI_ZOUTIKU">DATA!$D$973</definedName>
    <definedName name="wskakunin_koutei_ikou01_KOUTEI_DATE">DATA!$D$1264</definedName>
    <definedName name="wskakunin_koutei_ikou01_KOUTEI_KAISUU">DATA!$D$1262</definedName>
    <definedName name="wskakunin_koutei_ikou01_KOUTEI_TEXT">DATA!$D$1263</definedName>
    <definedName name="wskakunin_koutei_ikou02_KOUTEI_DATE">DATA!$D$1269</definedName>
    <definedName name="wskakunin_koutei_ikou02_KOUTEI_KAISUU">DATA!$D$1267</definedName>
    <definedName name="wskakunin_koutei_ikou02_KOUTEI_TEXT">DATA!$D$1268</definedName>
    <definedName name="wskakunin_koutei_izen01_INTER_ISSUE_DATE">DATA!$D$1209</definedName>
    <definedName name="wskakunin_koutei_izen01_INTER_ISSUE_NAME">DATA!$D$1207</definedName>
    <definedName name="wskakunin_koutei_izen01_INTER_ISSUE_NO">DATA!$D$1208</definedName>
    <definedName name="wskakunin_koutei_izen01_KOUTEI_KAISUU">DATA!$D$1205</definedName>
    <definedName name="wskakunin_koutei_izen01_KOUTEI_TEXT">DATA!$D$1206</definedName>
    <definedName name="wskakunin_koutei_izen02_INTER_ISSUE_DATE">DATA!$D$1216</definedName>
    <definedName name="wskakunin_koutei_izen02_INTER_ISSUE_NAME">DATA!$D$1214</definedName>
    <definedName name="wskakunin_koutei_izen02_INTER_ISSUE_NO">DATA!$D$1215</definedName>
    <definedName name="wskakunin_koutei_izen02_KOUTEI_KAISUU">DATA!$D$1212</definedName>
    <definedName name="wskakunin_koutei_izen02_KOUTEI_TEXT">DATA!$D$1213</definedName>
    <definedName name="wskakunin_koutei_izen03_INTER_ISSUE_DATE">DATA!$D$1223</definedName>
    <definedName name="wskakunin_koutei_izen03_INTER_ISSUE_NAME">DATA!$D$1221</definedName>
    <definedName name="wskakunin_koutei_izen03_INTER_ISSUE_NO">DATA!$D$1222</definedName>
    <definedName name="wskakunin_koutei_izen03_KOUTEI_KAISUU">DATA!$D$1219</definedName>
    <definedName name="wskakunin_koutei_izen03_KOUTEI_TEXT">DATA!$D$1220</definedName>
    <definedName name="wskakunin_koutei_izen04_INTER_ISSUE_DATE">DATA!$D$1230</definedName>
    <definedName name="wskakunin_koutei_izen04_INTER_ISSUE_NAME">DATA!$D$1228</definedName>
    <definedName name="wskakunin_koutei_izen04_INTER_ISSUE_NO">DATA!$D$1229</definedName>
    <definedName name="wskakunin_koutei_izen04_KOUTEI_KAISUU">DATA!$D$1226</definedName>
    <definedName name="wskakunin_koutei_izen04_KOUTEI_TEXT">DATA!$D$1227</definedName>
    <definedName name="wskakunin_koutei01_INTER_ISSUE_DATE">DATA!$D$1303</definedName>
    <definedName name="wskakunin_koutei01_INTER_ISSUE_NAME">DATA!$D$1301</definedName>
    <definedName name="wskakunin_koutei01_INTER_ISSUE_NO">DATA!$D$1302</definedName>
    <definedName name="wskakunin_koutei01_KOUTEI_DATE">DATA!$D$1152</definedName>
    <definedName name="wskakunin_koutei01_KOUTEI_KAISUU">DATA!$D$1151</definedName>
    <definedName name="wskakunin_koutei01_KOUTEI_TEXT">DATA!$D$1153</definedName>
    <definedName name="wskakunin_koutei02_INTER_ISSUE_DATE">DATA!$D$1317</definedName>
    <definedName name="wskakunin_koutei02_INTER_ISSUE_NAME">DATA!$D$1315</definedName>
    <definedName name="wskakunin_koutei02_INTER_ISSUE_NO">DATA!$D$1316</definedName>
    <definedName name="wskakunin_koutei02_KOUTEI_DATE">DATA!$D$1157</definedName>
    <definedName name="wskakunin_koutei02_KOUTEI_KAISUU">DATA!$D$1156</definedName>
    <definedName name="wskakunin_koutei02_KOUTEI_TEXT">DATA!$D$1158</definedName>
    <definedName name="wskakunin_koutei03_KOUTEI_DATE">DATA!$D$1162</definedName>
    <definedName name="wskakunin_koutei03_KOUTEI_KAISUU">DATA!$D$1161</definedName>
    <definedName name="wskakunin_koutei03_KOUTEI_TEXT">DATA!$D$1163</definedName>
    <definedName name="wskakunin_koutei04_KOUTEI_DATE">DATA!$D$1167</definedName>
    <definedName name="wskakunin_koutei04_KOUTEI_KAISUU">DATA!$D$1166</definedName>
    <definedName name="wskakunin_koutei04_KOUTEI_TEXT">DATA!$D$1168</definedName>
    <definedName name="wskakunin_KOUZOU1">DATA!$D$1099</definedName>
    <definedName name="wskakunin_KOUZOU2">DATA!$D$1100</definedName>
    <definedName name="wskakunin_KUIKI_HISETTEI">DATA!$D$917</definedName>
    <definedName name="wskakunin_KUIKI_JYUN_TOSHI">DATA!$D$918</definedName>
    <definedName name="wskakunin_KUIKI_KUIKIGAI">DATA!$D$919</definedName>
    <definedName name="wskakunin_KUIKI_SIGAIKA">DATA!$D$914</definedName>
    <definedName name="wskakunin_KUIKI_TOSI">DATA!$D$911</definedName>
    <definedName name="wskakunin_KUIKI_TYOSEI">DATA!$D$916</definedName>
    <definedName name="wskakunin_kyoka01_">DATA!$D$1115</definedName>
    <definedName name="wskakunin_kyoka01_BIKOU">DATA!$D$1120</definedName>
    <definedName name="wskakunin_kyoka01_HOUREI">DATA!$D$1116</definedName>
    <definedName name="wskakunin_kyoka01_JOUKOU">DATA!$D$1117</definedName>
    <definedName name="wskakunin_kyoka01_KYOKA_DATE">DATA!$D$1119</definedName>
    <definedName name="wskakunin_kyoka01_KYOKA_NO">DATA!$D$1118</definedName>
    <definedName name="wskakunin_kyoka02_BIKOU">DATA!$D$1128</definedName>
    <definedName name="wskakunin_kyoka02_HOUREI">DATA!$D$1124</definedName>
    <definedName name="wskakunin_kyoka02_JOUKOU">DATA!$D$1125</definedName>
    <definedName name="wskakunin_kyoka02_KYOKA_DATE">DATA!$D$1127</definedName>
    <definedName name="wskakunin_kyoka02_KYOKA_NO">DATA!$D$1126</definedName>
    <definedName name="wskakunin_kyoka03_BIKOU">DATA!$D$1136</definedName>
    <definedName name="wskakunin_kyoka03_HOUREI">DATA!$D$1132</definedName>
    <definedName name="wskakunin_kyoka03_JOUKOU">DATA!$D$1133</definedName>
    <definedName name="wskakunin_kyoka03_KYOKA_DATE">DATA!$D$1135</definedName>
    <definedName name="wskakunin_kyoka03_KYOKA_NO">DATA!$D$1134</definedName>
    <definedName name="wskakunin_LAST_ISSUE_DATE">DATA!$D$59</definedName>
    <definedName name="wskakunin_LAST_ISSUE_NAME">DATA!$D$60</definedName>
    <definedName name="wskakunin_LAST_ISSUE_NO">DATA!$D$58</definedName>
    <definedName name="wskakunin_LIMIT_KENPEI_RITU">DATA!$D$962</definedName>
    <definedName name="wskakunin_LIMIT_YOUSEKI_RITU">DATA!$D$961</definedName>
    <definedName name="wskakunin_NOBE_MENSEKI">DATA!$D$1079</definedName>
    <definedName name="wskakunin_NOBE_MENSEKI_BITIKUSOUKO_IGAI">DATA!$D$1045</definedName>
    <definedName name="wskakunin_NOBE_MENSEKI_BITIKUSOUKO_SHINSEI">DATA!$D$1044</definedName>
    <definedName name="wskakunin_NOBE_MENSEKI_BITIKUSOUKO_TOTAL">DATA!$D$1046</definedName>
    <definedName name="wskakunin_NOBE_MENSEKI_BUILD_IGAI">DATA!$D$1020</definedName>
    <definedName name="wskakunin_NOBE_MENSEKI_BUILD_SHINSEI">DATA!$D$1019</definedName>
    <definedName name="wskakunin_NOBE_MENSEKI_BUILD_TOTAL">DATA!$D$1021</definedName>
    <definedName name="wskakunin_NOBE_MENSEKI_CHOSUISOU_IGAI">DATA!$D$1060</definedName>
    <definedName name="wskakunin_NOBE_MENSEKI_CHOSUISOU_SHINSEI">DATA!$D$1059</definedName>
    <definedName name="wskakunin_NOBE_MENSEKI_CHOSUISOU_TOTAL">DATA!$D$1061</definedName>
    <definedName name="wskakunin_NOBE_MENSEKI_JIKAHATUDEN_IGAI">DATA!$D$1055</definedName>
    <definedName name="wskakunin_NOBE_MENSEKI_JIKAHATUDEN_SHINSEI">DATA!$D$1054</definedName>
    <definedName name="wskakunin_NOBE_MENSEKI_JIKAHATUDEN_TOTAL">DATA!$D$1056</definedName>
    <definedName name="wskakunin_NOBE_MENSEKI_JYUTAKU_IGAI">DATA!$D$1070</definedName>
    <definedName name="wskakunin_NOBE_MENSEKI_JYUTAKU_SHINSEI">DATA!$D$1069</definedName>
    <definedName name="wskakunin_NOBE_MENSEKI_JYUTAKU_TOTAL">DATA!$D$1071</definedName>
    <definedName name="wskakunin_NOBE_MENSEKI_KYOYOU_IGAI">DATA!$D$1035</definedName>
    <definedName name="wskakunin_NOBE_MENSEKI_KYOYOU_SHINSEI">DATA!$D$1034</definedName>
    <definedName name="wskakunin_NOBE_MENSEKI_KYOYOU_TOTAL">DATA!$D$1036</definedName>
    <definedName name="wskakunin_NOBE_MENSEKI_ROUJIN_IGAI">DATA!$D$1075</definedName>
    <definedName name="wskakunin_NOBE_MENSEKI_ROUJIN_SHINSEI">DATA!$D$1074</definedName>
    <definedName name="wskakunin_NOBE_MENSEKI_ROUJIN_TOTAL">DATA!$D$1076</definedName>
    <definedName name="wskakunin_NOBE_MENSEKI_SYAKO_IGAI">DATA!$D$1040</definedName>
    <definedName name="wskakunin_NOBE_MENSEKI_SYAKO_SHINSEI">DATA!$D$1039</definedName>
    <definedName name="wskakunin_NOBE_MENSEKI_SYAKO_TOTAL">DATA!$D$1041</definedName>
    <definedName name="wskakunin_NOBE_MENSEKI_SYOUKOURO_IGAI">DATA!$D$1030</definedName>
    <definedName name="wskakunin_NOBE_MENSEKI_SYOUKOURO_SHINSEI">DATA!$D$1029</definedName>
    <definedName name="wskakunin_NOBE_MENSEKI_SYOUKOURO_TOTAL">DATA!$D$1031</definedName>
    <definedName name="wskakunin_NOBE_MENSEKI_TAKUHAI_IGAI">DATA!$D$1065</definedName>
    <definedName name="wskakunin_NOBE_MENSEKI_TAKUHAI_SHINSEI">DATA!$D$1064</definedName>
    <definedName name="wskakunin_NOBE_MENSEKI_TAKUHAI_TOTAL">DATA!$D$1066</definedName>
    <definedName name="wskakunin_NOBE_MENSEKI_TIKAI_IGAI">DATA!$D$1025</definedName>
    <definedName name="wskakunin_NOBE_MENSEKI_TIKAI_SHINSEI">DATA!$D$1024</definedName>
    <definedName name="wskakunin_NOBE_MENSEKI_TIKAI_TOTAL">DATA!$D$1026</definedName>
    <definedName name="wskakunin_NOBE_MENSEKI_TIKUDENTI_IGAI">DATA!$D$1050</definedName>
    <definedName name="wskakunin_NOBE_MENSEKI_TIKUDENTI_SHINSEI">DATA!$D$1049</definedName>
    <definedName name="wskakunin_NOBE_MENSEKI_TIKUDENTI_TOTAL">DATA!$D$1051</definedName>
    <definedName name="wskakunin_owner1__address">DATA!$D$84</definedName>
    <definedName name="wskakunin_owner1_JIMU_NAME">DATA!$D$74</definedName>
    <definedName name="wskakunin_owner1_JIMU_NAME_KANA">DATA!$D$75</definedName>
    <definedName name="wskakunin_owner1_NAME">DATA!$D$78</definedName>
    <definedName name="wskakunin_owner1_NAME_KANA">DATA!$D$79</definedName>
    <definedName name="wskakunin_owner1_POST">DATA!$D$76</definedName>
    <definedName name="wskakunin_owner1_POST_KANA">DATA!$D$77</definedName>
    <definedName name="wskakunin_owner1_TEL">DATA!$D$85</definedName>
    <definedName name="wskakunin_owner1_ZIP">DATA!$D$82</definedName>
    <definedName name="wskakunin_owner2__address">DATA!$D$101</definedName>
    <definedName name="wskakunin_owner2_JIMU_NAME">DATA!$D$94</definedName>
    <definedName name="wskakunin_owner2_JIMU_NAME_KANA">DATA!$D$95</definedName>
    <definedName name="wskakunin_owner2_NAME">DATA!$D$98</definedName>
    <definedName name="wskakunin_owner2_NAME_KANA">DATA!$D$99</definedName>
    <definedName name="wskakunin_owner2_POST">DATA!$D$96</definedName>
    <definedName name="wskakunin_owner2_POST_KANA">DATA!$D$97</definedName>
    <definedName name="wskakunin_owner2_TEL">DATA!$D$102</definedName>
    <definedName name="wskakunin_owner2_ZIP">DATA!$D$100</definedName>
    <definedName name="wskakunin_owner3__address">DATA!$D$115</definedName>
    <definedName name="wskakunin_owner3_JIMU_NAME">DATA!$D$108</definedName>
    <definedName name="wskakunin_owner3_JIMU_NAME_KANA">DATA!$D$109</definedName>
    <definedName name="wskakunin_owner3_NAME">DATA!$D$112</definedName>
    <definedName name="wskakunin_owner3_NAME_KANA">DATA!$D$113</definedName>
    <definedName name="wskakunin_owner3_POST">DATA!$D$110</definedName>
    <definedName name="wskakunin_owner3_POST_KANA">DATA!$D$111</definedName>
    <definedName name="wskakunin_owner3_TEL">DATA!$D$116</definedName>
    <definedName name="wskakunin_owner3_ZIP">DATA!$D$114</definedName>
    <definedName name="wskakunin_owner4__address">DATA!$D$128</definedName>
    <definedName name="wskakunin_owner4_JIMU_NAME">DATA!$D$121</definedName>
    <definedName name="wskakunin_owner4_JIMU_NAME_KANA">DATA!$D$122</definedName>
    <definedName name="wskakunin_owner4_NAME">DATA!$D$125</definedName>
    <definedName name="wskakunin_owner4_NAME_KANA">DATA!$D$126</definedName>
    <definedName name="wskakunin_owner4_POST">DATA!$D$123</definedName>
    <definedName name="wskakunin_owner4_POST_KANA">DATA!$D$124</definedName>
    <definedName name="wskakunin_owner4_TEL">DATA!$D$129</definedName>
    <definedName name="wskakunin_owner4_ZIP">DATA!$D$127</definedName>
    <definedName name="wskakunin_owner5__address">DATA!$D$140</definedName>
    <definedName name="wskakunin_owner5_JIMU_NAME">DATA!$D$133</definedName>
    <definedName name="wskakunin_owner5_JIMU_NAME_KANA">DATA!$D$134</definedName>
    <definedName name="wskakunin_owner5_NAME">DATA!$D$137</definedName>
    <definedName name="wskakunin_owner5_NAME_KANA">DATA!$D$138</definedName>
    <definedName name="wskakunin_owner5_POST">DATA!$D$135</definedName>
    <definedName name="wskakunin_owner5_POST_KANA">DATA!$D$136</definedName>
    <definedName name="wskakunin_owner5_TEL">DATA!$D$141</definedName>
    <definedName name="wskakunin_owner5_ZIP">DATA!$D$139</definedName>
    <definedName name="wskakunin_owner6__address">DATA!$D$152</definedName>
    <definedName name="wskakunin_owner6_JIMU_NAME">DATA!$D$145</definedName>
    <definedName name="wskakunin_owner6_JIMU_NAME_KANA">DATA!$D$146</definedName>
    <definedName name="wskakunin_owner6_NAME">DATA!$D$149</definedName>
    <definedName name="wskakunin_owner6_NAME_KANA">DATA!$D$150</definedName>
    <definedName name="wskakunin_owner6_POST">DATA!$D$147</definedName>
    <definedName name="wskakunin_owner6_POST_KANA">DATA!$D$148</definedName>
    <definedName name="wskakunin_owner6_TEL">DATA!$D$153</definedName>
    <definedName name="wskakunin_owner6_ZIP">DATA!$D$151</definedName>
    <definedName name="wskakunin_owner7__address">DATA!$D$164</definedName>
    <definedName name="wskakunin_owner7_JIMU_NAME">DATA!$D$157</definedName>
    <definedName name="wskakunin_owner7_JIMU_NAME_KANA">DATA!$D$158</definedName>
    <definedName name="wskakunin_owner7_NAME">DATA!$D$161</definedName>
    <definedName name="wskakunin_owner7_NAME_KANA">DATA!$D$162</definedName>
    <definedName name="wskakunin_owner7_POST">DATA!$D$159</definedName>
    <definedName name="wskakunin_owner7_POST_KANA">DATA!$D$160</definedName>
    <definedName name="wskakunin_owner7_TEL">DATA!$D$165</definedName>
    <definedName name="wskakunin_owner7_ZIP">DATA!$D$163</definedName>
    <definedName name="wskakunin_owner8__address">DATA!$D$175</definedName>
    <definedName name="wskakunin_owner8_JIMU_NAME">DATA!$D$168</definedName>
    <definedName name="wskakunin_owner8_JIMU_NAME_KANA">DATA!$D$169</definedName>
    <definedName name="wskakunin_owner8_NAME">DATA!$D$172</definedName>
    <definedName name="wskakunin_owner8_NAME_KANA">DATA!$D$173</definedName>
    <definedName name="wskakunin_owner8_POST">DATA!$D$170</definedName>
    <definedName name="wskakunin_owner8_POST_KANA">DATA!$D$171</definedName>
    <definedName name="wskakunin_owner8_TEL">DATA!$D$176</definedName>
    <definedName name="wskakunin_owner8_ZIP">DATA!$D$174</definedName>
    <definedName name="wskakunin_owner9__address">DATA!$D$186</definedName>
    <definedName name="wskakunin_owner9_JIMU_NAME">DATA!$D$179</definedName>
    <definedName name="wskakunin_owner9_JIMU_NAME_KANA">DATA!$D$180</definedName>
    <definedName name="wskakunin_owner9_NAME">DATA!$D$183</definedName>
    <definedName name="wskakunin_owner9_NAME_KANA">DATA!$D$184</definedName>
    <definedName name="wskakunin_owner9_POST">DATA!$D$181</definedName>
    <definedName name="wskakunin_owner9_POST_KANA">DATA!$D$182</definedName>
    <definedName name="wskakunin_owner9_TEL">DATA!$D$187</definedName>
    <definedName name="wskakunin_owner9_ZIP">DATA!$D$185</definedName>
    <definedName name="wskakunin_P1_HENKOU_GAIYOU">DATA!$D$61</definedName>
    <definedName name="wskakunin_P2_BIKOU">DATA!$D$839</definedName>
    <definedName name="wskakunin_P3_BIKOU">DATA!$D$1176</definedName>
    <definedName name="wskakunin_P3_SONOTA">DATA!$D$1174</definedName>
    <definedName name="wskakunin_p4_1__kouji">DATA!$D$880</definedName>
    <definedName name="wskakunin_p4_1_KAISU_TIKAI">DATA!$D$882</definedName>
    <definedName name="wskakunin_p4_1_KAISU_TIKAI_NOZOKU">DATA!$D$881</definedName>
    <definedName name="wskakunin_p4_1_KAISU_YUKA_MENSEKI_SHINSEI">DATA!$D$887</definedName>
    <definedName name="wskakunin_p4_1_KOUZOU1">DATA!$D$883</definedName>
    <definedName name="wskakunin_p4_1_KOUZOU2">DATA!$D$884</definedName>
    <definedName name="wskakunin_p4_1_p5_1_KAI">DATA!$D$892</definedName>
    <definedName name="wskakunin_p4_1_p5_1_P4_MENSEKI_SHINSEI">DATA!$D$893</definedName>
    <definedName name="wskakunin_p4_1_p5_2_KAI">DATA!$D$894</definedName>
    <definedName name="wskakunin_p4_1_p5_2_P4_MENSEKI_SHINSEI">DATA!$D$895</definedName>
    <definedName name="wskakunin_p4_1_p5_3_KAI">DATA!$D$896</definedName>
    <definedName name="wskakunin_p4_1_p5_3_P4_MENSEKI_SHINSEI">DATA!$D$897</definedName>
    <definedName name="wskakunin_p4_1_TAKASA_KEN_MAX">DATA!$D$886</definedName>
    <definedName name="wskakunin_p4_1_TAKASA_MAX">DATA!$D$885</definedName>
    <definedName name="wskakunin_p4_1_TOKUREI_KAKUNIN_FLAG">DATA!$D$888</definedName>
    <definedName name="wskakunin_p4_1_youto1_YOUTO">DATA!$D$871</definedName>
    <definedName name="wskakunin_p4_1_youto1_YOUTO_CODE">DATA!$D$872</definedName>
    <definedName name="wskakunin_PAGE1_ALTERATION_NOTE">DATA!$D$68</definedName>
    <definedName name="wskakunin_sekkei1__address">DATA!$D$295</definedName>
    <definedName name="wskakunin_sekkei1__sikaku">DATA!$D$283</definedName>
    <definedName name="wskakunin_sekkei1_DOC">DATA!$D$297</definedName>
    <definedName name="wskakunin_sekkei1_JIMU__sikaku">DATA!$D$288</definedName>
    <definedName name="wskakunin_sekkei1_JIMU_NAME">DATA!$D$292</definedName>
    <definedName name="wskakunin_sekkei1_JIMU_NO">DATA!$D$291</definedName>
    <definedName name="wskakunin_sekkei1_JIMU_SIKAKU__label">DATA!$D$289</definedName>
    <definedName name="wskakunin_sekkei1_JIMU_TOUROKU_KIKAN__label">DATA!$D$290</definedName>
    <definedName name="wskakunin_sekkei1_KENTIKUSI_NO">DATA!$D$286</definedName>
    <definedName name="wskakunin_sekkei1_NAME">DATA!$D$287</definedName>
    <definedName name="wskakunin_sekkei1_SIKAKU__label">DATA!$D$284</definedName>
    <definedName name="wskakunin_sekkei1_TEL">DATA!$D$296</definedName>
    <definedName name="wskakunin_sekkei1_TOUROKU_KIKAN__label">DATA!$D$285</definedName>
    <definedName name="wskakunin_sekkei1_ZIP">DATA!$D$294</definedName>
    <definedName name="wskakunin_sekkei10__address">DATA!$D$448</definedName>
    <definedName name="wskakunin_sekkei10__sikaku">DATA!$D$436</definedName>
    <definedName name="wskakunin_sekkei10_DOC">DATA!$D$450</definedName>
    <definedName name="wskakunin_sekkei10_JIMU__sikaku">DATA!$D$441</definedName>
    <definedName name="wskakunin_sekkei10_JIMU_NAME">DATA!$D$445</definedName>
    <definedName name="wskakunin_sekkei10_JIMU_NO">DATA!$D$444</definedName>
    <definedName name="wskakunin_sekkei10_JIMU_SIKAKU__label">DATA!$D$442</definedName>
    <definedName name="wskakunin_sekkei10_JIMU_TOUROKU_KIKAN__label">DATA!$D$443</definedName>
    <definedName name="wskakunin_sekkei10_KENTIKUSI_NO">DATA!$D$439</definedName>
    <definedName name="wskakunin_sekkei10_NAME">DATA!$D$440</definedName>
    <definedName name="wskakunin_sekkei10_SIKAKU__label">DATA!$D$437</definedName>
    <definedName name="wskakunin_sekkei10_TEL">DATA!$D$449</definedName>
    <definedName name="wskakunin_sekkei10_TOUROKU_KIKAN__label">DATA!$D$438</definedName>
    <definedName name="wskakunin_sekkei10_ZIP">DATA!$D$447</definedName>
    <definedName name="wskakunin_sekkei11__address">DATA!$D$465</definedName>
    <definedName name="wskakunin_sekkei11__sikaku">DATA!$D$453</definedName>
    <definedName name="wskakunin_sekkei11_DOC">DATA!$D$467</definedName>
    <definedName name="wskakunin_sekkei11_JIMU__sikaku">DATA!$D$458</definedName>
    <definedName name="wskakunin_sekkei11_JIMU_NAME">DATA!$D$462</definedName>
    <definedName name="wskakunin_sekkei11_JIMU_NO">DATA!$D$461</definedName>
    <definedName name="wskakunin_sekkei11_JIMU_SIKAKU__label">DATA!$D$459</definedName>
    <definedName name="wskakunin_sekkei11_JIMU_TOUROKU_KIKAN__label">DATA!$D$460</definedName>
    <definedName name="wskakunin_sekkei11_KENTIKUSI_NO">DATA!$D$456</definedName>
    <definedName name="wskakunin_sekkei11_NAME">DATA!$D$457</definedName>
    <definedName name="wskakunin_sekkei11_SIKAKU__label">DATA!$D$454</definedName>
    <definedName name="wskakunin_sekkei11_TEL">DATA!$D$466</definedName>
    <definedName name="wskakunin_sekkei11_TOUROKU_KIKAN__label">DATA!$D$455</definedName>
    <definedName name="wskakunin_sekkei11_ZIP">DATA!$D$464</definedName>
    <definedName name="wskakunin_sekkei12__address">DATA!$D$482</definedName>
    <definedName name="wskakunin_sekkei12__sikaku">DATA!$D$470</definedName>
    <definedName name="wskakunin_sekkei12_DOC">DATA!$D$484</definedName>
    <definedName name="wskakunin_sekkei12_JIMU__sikaku">DATA!$D$475</definedName>
    <definedName name="wskakunin_sekkei12_JIMU_NAME">DATA!$D$479</definedName>
    <definedName name="wskakunin_sekkei12_JIMU_NO">DATA!$D$478</definedName>
    <definedName name="wskakunin_sekkei12_JIMU_SIKAKU__label">DATA!$D$476</definedName>
    <definedName name="wskakunin_sekkei12_JIMU_TOUROKU_KIKAN__label">DATA!$D$477</definedName>
    <definedName name="wskakunin_sekkei12_KENTIKUSI_NO">DATA!$D$473</definedName>
    <definedName name="wskakunin_sekkei12_NAME">DATA!$D$474</definedName>
    <definedName name="wskakunin_sekkei12_SIKAKU__label">DATA!$D$471</definedName>
    <definedName name="wskakunin_sekkei12_TEL">DATA!$D$483</definedName>
    <definedName name="wskakunin_sekkei12_TOUROKU_KIKAN__label">DATA!$D$472</definedName>
    <definedName name="wskakunin_sekkei12_ZIP">DATA!$D$481</definedName>
    <definedName name="wskakunin_sekkei2__address">DATA!$D$312</definedName>
    <definedName name="wskakunin_sekkei2__sikaku">DATA!$D$300</definedName>
    <definedName name="wskakunin_sekkei2_DOC">DATA!$D$314</definedName>
    <definedName name="wskakunin_sekkei2_JIMU__sikaku">DATA!$D$305</definedName>
    <definedName name="wskakunin_sekkei2_JIMU_NAME">DATA!$D$309</definedName>
    <definedName name="wskakunin_sekkei2_JIMU_NO">DATA!$D$308</definedName>
    <definedName name="wskakunin_sekkei2_JIMU_SIKAKU__label">DATA!$D$306</definedName>
    <definedName name="wskakunin_sekkei2_JIMU_TOUROKU_KIKAN__label">DATA!$D$307</definedName>
    <definedName name="wskakunin_sekkei2_KENTIKUSI_NO">DATA!$D$303</definedName>
    <definedName name="wskakunin_sekkei2_NAME">DATA!$D$304</definedName>
    <definedName name="wskakunin_sekkei2_SIKAKU__label">DATA!$D$301</definedName>
    <definedName name="wskakunin_sekkei2_TEL">DATA!$D$313</definedName>
    <definedName name="wskakunin_sekkei2_TOUROKU_KIKAN__label">DATA!$D$302</definedName>
    <definedName name="wskakunin_sekkei2_ZIP">DATA!$D$311</definedName>
    <definedName name="wskakunin_sekkei3__address">DATA!$D$329</definedName>
    <definedName name="wskakunin_sekkei3__sikaku">DATA!$D$317</definedName>
    <definedName name="wskakunin_sekkei3_DOC">DATA!$D$331</definedName>
    <definedName name="wskakunin_sekkei3_JIMU__sikaku">DATA!$D$322</definedName>
    <definedName name="wskakunin_sekkei3_JIMU_NAME">DATA!$D$326</definedName>
    <definedName name="wskakunin_sekkei3_JIMU_NO">DATA!$D$325</definedName>
    <definedName name="wskakunin_sekkei3_JIMU_SIKAKU__label">DATA!$D$323</definedName>
    <definedName name="wskakunin_sekkei3_JIMU_TOUROKU_KIKAN__label">DATA!$D$324</definedName>
    <definedName name="wskakunin_sekkei3_KENTIKUSI_NO">DATA!$D$320</definedName>
    <definedName name="wskakunin_sekkei3_NAME">DATA!$D$321</definedName>
    <definedName name="wskakunin_sekkei3_SIKAKU__label">DATA!$D$318</definedName>
    <definedName name="wskakunin_sekkei3_TEL">DATA!$D$330</definedName>
    <definedName name="wskakunin_sekkei3_TOUROKU_KIKAN__label">DATA!$D$319</definedName>
    <definedName name="wskakunin_sekkei3_ZIP">DATA!$D$328</definedName>
    <definedName name="wskakunin_sekkei4__address">DATA!$D$346</definedName>
    <definedName name="wskakunin_sekkei4__sikaku">DATA!$D$334</definedName>
    <definedName name="wskakunin_sekkei4_DOC">DATA!$D$348</definedName>
    <definedName name="wskakunin_sekkei4_JIMU__sikaku">DATA!$D$339</definedName>
    <definedName name="wskakunin_sekkei4_JIMU_NAME">DATA!$D$343</definedName>
    <definedName name="wskakunin_sekkei4_JIMU_NO">DATA!$D$342</definedName>
    <definedName name="wskakunin_sekkei4_JIMU_SIKAKU__label">DATA!$D$340</definedName>
    <definedName name="wskakunin_sekkei4_JIMU_TOUROKU_KIKAN__label">DATA!$D$341</definedName>
    <definedName name="wskakunin_sekkei4_KENTIKUSI_NO">DATA!$D$337</definedName>
    <definedName name="wskakunin_sekkei4_NAME">DATA!$D$338</definedName>
    <definedName name="wskakunin_sekkei4_SIKAKU__label">DATA!$D$335</definedName>
    <definedName name="wskakunin_sekkei4_TEL">DATA!$D$347</definedName>
    <definedName name="wskakunin_sekkei4_TOUROKU_KIKAN__label">DATA!$D$336</definedName>
    <definedName name="wskakunin_sekkei4_ZIP">DATA!$D$345</definedName>
    <definedName name="wskakunin_sekkei5__address">DATA!$D$363</definedName>
    <definedName name="wskakunin_sekkei5__sikaku">DATA!$D$351</definedName>
    <definedName name="wskakunin_sekkei5_DOC">DATA!$D$365</definedName>
    <definedName name="wskakunin_sekkei5_JIMU__sikaku">DATA!$D$356</definedName>
    <definedName name="wskakunin_sekkei5_JIMU_NAME">DATA!$D$360</definedName>
    <definedName name="wskakunin_sekkei5_JIMU_NO">DATA!$D$359</definedName>
    <definedName name="wskakunin_sekkei5_JIMU_SIKAKU__label">DATA!$D$357</definedName>
    <definedName name="wskakunin_sekkei5_JIMU_TOUROKU_KIKAN__label">DATA!$D$358</definedName>
    <definedName name="wskakunin_sekkei5_KENTIKUSI_NO">DATA!$D$354</definedName>
    <definedName name="wskakunin_sekkei5_NAME">DATA!$D$355</definedName>
    <definedName name="wskakunin_sekkei5_SIKAKU__label">DATA!$D$352</definedName>
    <definedName name="wskakunin_sekkei5_TEL">DATA!$D$364</definedName>
    <definedName name="wskakunin_sekkei5_TOUROKU_KIKAN__label">DATA!$D$353</definedName>
    <definedName name="wskakunin_sekkei5_ZIP">DATA!$D$362</definedName>
    <definedName name="wskakunin_sekkei6__address">DATA!$D$380</definedName>
    <definedName name="wskakunin_sekkei6__sikaku">DATA!$D$368</definedName>
    <definedName name="wskakunin_sekkei6_DOC">DATA!$D$382</definedName>
    <definedName name="wskakunin_sekkei6_JIMU__sikaku">DATA!$D$373</definedName>
    <definedName name="wskakunin_sekkei6_JIMU_NAME">DATA!$D$377</definedName>
    <definedName name="wskakunin_sekkei6_JIMU_NO">DATA!$D$376</definedName>
    <definedName name="wskakunin_sekkei6_JIMU_SIKAKU__label">DATA!$D$374</definedName>
    <definedName name="wskakunin_sekkei6_JIMU_TOUROKU_KIKAN__label">DATA!$D$375</definedName>
    <definedName name="wskakunin_sekkei6_KENTIKUSI_NO">DATA!$D$371</definedName>
    <definedName name="wskakunin_sekkei6_NAME">DATA!$D$372</definedName>
    <definedName name="wskakunin_sekkei6_SIKAKU__label">DATA!$D$369</definedName>
    <definedName name="wskakunin_sekkei6_TEL">DATA!$D$381</definedName>
    <definedName name="wskakunin_sekkei6_TOUROKU_KIKAN__label">DATA!$D$370</definedName>
    <definedName name="wskakunin_sekkei6_ZIP">DATA!$D$379</definedName>
    <definedName name="wskakunin_sekkei7__address">DATA!$D$397</definedName>
    <definedName name="wskakunin_sekkei7__sikaku">DATA!$D$385</definedName>
    <definedName name="wskakunin_sekkei7_DOC">DATA!$D$399</definedName>
    <definedName name="wskakunin_sekkei7_JIMU__sikaku">DATA!$D$390</definedName>
    <definedName name="wskakunin_sekkei7_JIMU_NAME">DATA!$D$394</definedName>
    <definedName name="wskakunin_sekkei7_JIMU_NO">DATA!$D$393</definedName>
    <definedName name="wskakunin_sekkei7_JIMU_SIKAKU__label">DATA!$D$391</definedName>
    <definedName name="wskakunin_sekkei7_JIMU_TOUROKU_KIKAN__label">DATA!$D$392</definedName>
    <definedName name="wskakunin_sekkei7_KENTIKUSI_NO">DATA!$D$388</definedName>
    <definedName name="wskakunin_sekkei7_NAME">DATA!$D$389</definedName>
    <definedName name="wskakunin_sekkei7_SIKAKU__label">DATA!$D$386</definedName>
    <definedName name="wskakunin_sekkei7_TEL">DATA!$D$398</definedName>
    <definedName name="wskakunin_sekkei7_TOUROKU_KIKAN__label">DATA!$D$387</definedName>
    <definedName name="wskakunin_sekkei7_ZIP">DATA!$D$396</definedName>
    <definedName name="wskakunin_sekkei8__address">DATA!$D$414</definedName>
    <definedName name="wskakunin_sekkei8__sikaku">DATA!$D$402</definedName>
    <definedName name="wskakunin_sekkei8_DOC">DATA!$D$416</definedName>
    <definedName name="wskakunin_sekkei8_JIMU__sikaku">DATA!$D$407</definedName>
    <definedName name="wskakunin_sekkei8_JIMU_NAME">DATA!$D$411</definedName>
    <definedName name="wskakunin_sekkei8_JIMU_NO">DATA!$D$410</definedName>
    <definedName name="wskakunin_sekkei8_JIMU_SIKAKU__label">DATA!$D$408</definedName>
    <definedName name="wskakunin_sekkei8_JIMU_TOUROKU_KIKAN__label">DATA!$D$409</definedName>
    <definedName name="wskakunin_sekkei8_KENTIKUSI_NO">DATA!$D$405</definedName>
    <definedName name="wskakunin_sekkei8_NAME">DATA!$D$406</definedName>
    <definedName name="wskakunin_sekkei8_SIKAKU__label">DATA!$D$403</definedName>
    <definedName name="wskakunin_sekkei8_TEL">DATA!$D$415</definedName>
    <definedName name="wskakunin_sekkei8_TOUROKU_KIKAN__label">DATA!$D$404</definedName>
    <definedName name="wskakunin_sekkei8_ZIP">DATA!$D$413</definedName>
    <definedName name="wskakunin_sekkei9__address">DATA!$D$431</definedName>
    <definedName name="wskakunin_sekkei9__sikaku">DATA!$D$419</definedName>
    <definedName name="wskakunin_sekkei9_DOC">DATA!$D$433</definedName>
    <definedName name="wskakunin_sekkei9_JIMU__sikaku">DATA!$D$424</definedName>
    <definedName name="wskakunin_sekkei9_JIMU_NAME">DATA!$D$428</definedName>
    <definedName name="wskakunin_sekkei9_JIMU_NO">DATA!$D$427</definedName>
    <definedName name="wskakunin_sekkei9_JIMU_SIKAKU__label">DATA!$D$425</definedName>
    <definedName name="wskakunin_sekkei9_JIMU_TOUROKU_KIKAN__label">DATA!$D$426</definedName>
    <definedName name="wskakunin_sekkei9_KENTIKUSI_NO">DATA!$D$422</definedName>
    <definedName name="wskakunin_sekkei9_NAME">DATA!$D$423</definedName>
    <definedName name="wskakunin_sekkei9_SIKAKU__label">DATA!$D$420</definedName>
    <definedName name="wskakunin_sekkei9_TEL">DATA!$D$432</definedName>
    <definedName name="wskakunin_sekkei9_TOUROKU_KIKAN__label">DATA!$D$421</definedName>
    <definedName name="wskakunin_sekkei9_ZIP">DATA!$D$430</definedName>
    <definedName name="wskakunin_sekou1__address">DATA!$D$780</definedName>
    <definedName name="wskakunin_sekou1_JIMU_NAME">DATA!$D$778</definedName>
    <definedName name="wskakunin_sekou1_NAME">DATA!$D$774</definedName>
    <definedName name="wskakunin_sekou1_SEKOU__sikaku">DATA!$D$775</definedName>
    <definedName name="wskakunin_sekou1_SEKOU_NO">DATA!$D$777</definedName>
    <definedName name="wskakunin_sekou1_SEKOU_SIKAKU__label">DATA!$D$776</definedName>
    <definedName name="wskakunin_sekou1_TEL">DATA!$D$781</definedName>
    <definedName name="wskakunin_sekou1_ZIP">DATA!$D$779</definedName>
    <definedName name="wskakunin_sekou2__address">DATA!$D$790</definedName>
    <definedName name="wskakunin_sekou2_JIMU_NAME">DATA!$D$788</definedName>
    <definedName name="wskakunin_sekou2_NAME">DATA!$D$784</definedName>
    <definedName name="wskakunin_sekou2_SEKOU__sikaku">DATA!$D$785</definedName>
    <definedName name="wskakunin_sekou2_SEKOU_NO">DATA!$D$787</definedName>
    <definedName name="wskakunin_sekou2_SEKOU_SIKAKU__label">DATA!$D$786</definedName>
    <definedName name="wskakunin_sekou2_TEL">DATA!$D$791</definedName>
    <definedName name="wskakunin_sekou2_ZIP">DATA!$D$789</definedName>
    <definedName name="wskakunin_sekou3__address">DATA!$D$800</definedName>
    <definedName name="wskakunin_sekou3_JIMU_NAME">DATA!$D$798</definedName>
    <definedName name="wskakunin_sekou3_NAME">DATA!$D$794</definedName>
    <definedName name="wskakunin_sekou3_SEKOU__sikaku">DATA!$D$795</definedName>
    <definedName name="wskakunin_sekou3_SEKOU_NO">DATA!$D$797</definedName>
    <definedName name="wskakunin_sekou3_SEKOU_SIKAKU__label">DATA!$D$796</definedName>
    <definedName name="wskakunin_sekou3_TEL">DATA!$D$801</definedName>
    <definedName name="wskakunin_sekou3_ZIP">DATA!$D$799</definedName>
    <definedName name="wskakunin_sekou4__address">DATA!$D$810</definedName>
    <definedName name="wskakunin_sekou4_JIMU_NAME">DATA!$D$808</definedName>
    <definedName name="wskakunin_sekou4_NAME">DATA!$D$804</definedName>
    <definedName name="wskakunin_sekou4_SEKOU__sikaku">DATA!$D$805</definedName>
    <definedName name="wskakunin_sekou4_SEKOU_NO">DATA!$D$807</definedName>
    <definedName name="wskakunin_sekou4_SEKOU_SIKAKU__label">DATA!$D$806</definedName>
    <definedName name="wskakunin_sekou4_TEL">DATA!$D$811</definedName>
    <definedName name="wskakunin_sekou4_ZIP">DATA!$D$809</definedName>
    <definedName name="wskakunin_sekou5__address">DATA!$D$820</definedName>
    <definedName name="wskakunin_sekou5_JIMU_NAME">DATA!$D$818</definedName>
    <definedName name="wskakunin_sekou5_NAME">DATA!$D$814</definedName>
    <definedName name="wskakunin_sekou5_SEKOU__sikaku">DATA!$D$815</definedName>
    <definedName name="wskakunin_sekou5_SEKOU_NO">DATA!$D$817</definedName>
    <definedName name="wskakunin_sekou5_SEKOU_SIKAKU__label">DATA!$D$816</definedName>
    <definedName name="wskakunin_sekou5_TEL">DATA!$D$821</definedName>
    <definedName name="wskakunin_sekou5_ZIP">DATA!$D$819</definedName>
    <definedName name="wskakunin_sekou6__address">DATA!$D$830</definedName>
    <definedName name="wskakunin_sekou6_JIMU_NAME">DATA!$D$828</definedName>
    <definedName name="wskakunin_sekou6_NAME">DATA!$D$824</definedName>
    <definedName name="wskakunin_sekou6_SEKOU__sikaku">DATA!$D$825</definedName>
    <definedName name="wskakunin_sekou6_SEKOU_NO">DATA!$D$827</definedName>
    <definedName name="wskakunin_sekou6_SEKOU_SIKAKU__label">DATA!$D$826</definedName>
    <definedName name="wskakunin_sekou6_TEL">DATA!$D$831</definedName>
    <definedName name="wskakunin_sekou6_ZIP">DATA!$D$829</definedName>
    <definedName name="wskakunin_SHIKITI_MENSEKI_1_TOTAL">DATA!$D$959</definedName>
    <definedName name="wskakunin_SHIKITI_MENSEKI_1A">DATA!$D$935</definedName>
    <definedName name="wskakunin_SHIKITI_MENSEKI_1B">DATA!$D$936</definedName>
    <definedName name="wskakunin_SHIKITI_MENSEKI_1C">DATA!$D$937</definedName>
    <definedName name="wskakunin_SHIKITI_MENSEKI_1D">DATA!$D$938</definedName>
    <definedName name="wskakunin_SHIKITI_MENSEKI_2_TOTAL">DATA!$D$960</definedName>
    <definedName name="wskakunin_SHIKITI_MENSEKI_2A">DATA!$D$939</definedName>
    <definedName name="wskakunin_SHIKITI_MENSEKI_2B">DATA!$D$940</definedName>
    <definedName name="wskakunin_SHIKITI_MENSEKI_2C">DATA!$D$941</definedName>
    <definedName name="wskakunin_SHIKITI_MENSEKI_2D">DATA!$D$942</definedName>
    <definedName name="wskakunin_SHIKITI_MENSEKI_BIKOU">DATA!$D$963</definedName>
    <definedName name="wskakunin_SHINSEI_DATE">DATA!$D$56</definedName>
    <definedName name="wskakunin_SONOTA_KUIKI">DATA!$D$927</definedName>
    <definedName name="wskakunin_TAKASA_MAX_SHINSEI">DATA!$D$1090</definedName>
    <definedName name="wskakunin_TAKASA_MAX_SONOTA">DATA!$D$1091</definedName>
    <definedName name="wskakunin_tekihan01_TEKIHAN_KIKAN_ADDRESS">DATA!$D$849</definedName>
    <definedName name="wskakunin_tekihan01_TEKIHAN_KIKAN_KEN__ken">DATA!$D$848</definedName>
    <definedName name="wskakunin_tekihan01_TEKIHAN_KIKAN_NAME">DATA!$D$847</definedName>
    <definedName name="wskakunin_tekihan01_TEKIHAN_STATE">DATA!$D$843</definedName>
    <definedName name="wskakunin_tekihan02_TEKIHAN_KIKAN_ADDRESS">DATA!$D$853</definedName>
    <definedName name="wskakunin_tekihan02_TEKIHAN_KIKAN_KEN__ken">DATA!$D$852</definedName>
    <definedName name="wskakunin_tekihan02_TEKIHAN_KIKAN_NAME">DATA!$D$851</definedName>
    <definedName name="wskakunin_TOKUREI_1">DATA!$D$1184</definedName>
    <definedName name="wskakunin_TOKUREI_2">DATA!$D$1185</definedName>
    <definedName name="wskakunin_TOKUREI_3">DATA!$D$1186</definedName>
    <definedName name="wskakunin_TOKUREI_4">DATA!$D$1187</definedName>
    <definedName name="wskakunin_TOKUREI_TAKASA">DATA!$D$1105</definedName>
    <definedName name="wskakunin_TOKUREI_TAKASA_DOURO">DATA!$D$1110</definedName>
    <definedName name="wskakunin_TOKUREI_TAKASA_KITA">DATA!$D$1112</definedName>
    <definedName name="wskakunin_TOKUREI_TAKASA_RINTI">DATA!$D$1111</definedName>
    <definedName name="wskakunin_TOKUTEI_KOUJI_KANRYOU_DATE">DATA!$D$1199</definedName>
    <definedName name="wskakunin_TOKUTEI_KOUTEI">DATA!$D$1196</definedName>
    <definedName name="wskakunin_YOUSEKI_RITU">DATA!$D$1082</definedName>
    <definedName name="wskakunin_YOUSEKI_RITU_A">DATA!$D$949</definedName>
    <definedName name="wskakunin_YOUSEKI_RITU_B">DATA!$D$950</definedName>
    <definedName name="wskakunin_YOUSEKI_RITU_C">DATA!$D$951</definedName>
    <definedName name="wskakunin_YOUSEKI_RITU_D">DATA!$D$952</definedName>
    <definedName name="wskakunin_YOUTO">DATA!$D$966</definedName>
    <definedName name="wskakunin_YOUTO_CODE">DATA!$D$965</definedName>
    <definedName name="wskakunin_YOUTO_TIIKI_A">DATA!$D$944</definedName>
    <definedName name="wskakunin_YOUTO_TIIKI_B">DATA!$D$945</definedName>
    <definedName name="wskakunin_YOUTO_TIIKI_C">DATA!$D$946</definedName>
    <definedName name="wskakunin_YOUTO_TIIKI_D">DATA!$D$947</definedName>
    <definedName name="wskakuninKOUJI_SETUBI">DATA!$D$979</definedName>
    <definedName name="Z_D83ABAE7_1F4C_4C77_8E04_C5172671ED17_.wvu.Rows" localSheetId="2" hidden="1">DATA!$873:$879</definedName>
    <definedName name="しろくろ">リスト!$I$1:$I$2</definedName>
    <definedName name="チェック">リスト!$P$1:$P$2</definedName>
    <definedName name="はんとく">リスト!$F$1:$F$3</definedName>
    <definedName name="一級">項目リスト!$A$3</definedName>
    <definedName name="外壁後退">リスト!$K$1:$K$5</definedName>
    <definedName name="確変">リスト!$S$1:$S$2</definedName>
    <definedName name="居住専用番号">リスト!$Q$1:$Q$5</definedName>
    <definedName name="許可">リスト!$M$1:$M$20</definedName>
    <definedName name="許可区分">リスト!$D$1:$D$4</definedName>
    <definedName name="近隣商業地域">項目リスト!$L$3:$L$8</definedName>
    <definedName name="近隣商業地域建ぺい率">項目リスト!$Y$3:$Y$4</definedName>
    <definedName name="月">リスト!$H$1:$H$13</definedName>
    <definedName name="建ぺい率">項目リスト!$R$2:$AD$2</definedName>
    <definedName name="建昇工">リスト!$T$1:$T$3</definedName>
    <definedName name="建築士">項目リスト!$A$2:$C$2</definedName>
    <definedName name="県知事">項目リスト!$A$4:$A$50</definedName>
    <definedName name="工業専用地域">項目リスト!$P$3:$P$7</definedName>
    <definedName name="工業専用地域建ぺい率">項目リスト!$AC$3:$AC$6</definedName>
    <definedName name="工業地域">項目リスト!$O$3:$O$7</definedName>
    <definedName name="工業地域建ぺい率">項目リスト!$AB$3:$AB$4</definedName>
    <definedName name="工事届用主要用途">項目リスト!$AO$3:$AO$7</definedName>
    <definedName name="工事届用主要用途2">項目リスト!$AP$3:$AP$39</definedName>
    <definedName name="構造">項目リスト!$AF$3:$AF$8</definedName>
    <definedName name="号">リスト!$U$1:$U$2</definedName>
    <definedName name="産業番号">リスト!$R$1:$R$37</definedName>
    <definedName name="指定なし">項目リスト!$Q$3:$Q$8</definedName>
    <definedName name="指定なし建ぺい率">項目リスト!$AD$3:$AD$7</definedName>
    <definedName name="施工者">項目リスト!$D$3:$D$51</definedName>
    <definedName name="資格">リスト!$A$2:$A$5</definedName>
    <definedName name="準工業地域">項目リスト!$N$3:$N$8</definedName>
    <definedName name="準工業地域建ぺい率">項目リスト!$AA$3:$AA$5</definedName>
    <definedName name="準住居地域">項目リスト!$K$3:$K$8</definedName>
    <definedName name="準住居地域建ぺい率">項目リスト!$X$3:$X$5</definedName>
    <definedName name="商業地域">項目リスト!$M$3:$M$14</definedName>
    <definedName name="商業地域建ぺい率">項目リスト!$Z$3</definedName>
    <definedName name="図書">リスト!$C$1:$C$6</definedName>
    <definedName name="数字">リスト!$G$1:$G$32</definedName>
    <definedName name="耐火建築物">項目リスト!$AM$3:$AM$8</definedName>
    <definedName name="大臣">項目リスト!$A$3</definedName>
    <definedName name="第一種住居地域">項目リスト!$I$3:$I$8</definedName>
    <definedName name="第一種住居地域建ぺい率">項目リスト!$V$3:$V$5</definedName>
    <definedName name="第一種中高層住居専用地域">項目リスト!$G$3:$G$8</definedName>
    <definedName name="第一種中高層住居専用地域建ぺい率">項目リスト!$T$3:$T$6</definedName>
    <definedName name="第一種低層住居専用地域">項目リスト!$E$3:$E$8</definedName>
    <definedName name="第一種低層住居専用地域建ぺい率">項目リスト!$R$3:$R$6</definedName>
    <definedName name="第二種住居地域">項目リスト!$J$3:$J$8</definedName>
    <definedName name="第二種住居地域建ぺい率">項目リスト!$W$3:$W$5</definedName>
    <definedName name="第二種中高層住居専用地域">項目リスト!$H$3:$H$8</definedName>
    <definedName name="第二種中高層住居専用地域建ぺい率">項目リスト!$U$3:$U$6</definedName>
    <definedName name="第二種低層住居専用地域">項目リスト!$F$3:$F$8</definedName>
    <definedName name="第二種低層住居専用地域建ぺい率">項目リスト!$S$3:$S$6</definedName>
    <definedName name="都道府県">リスト!$B$1:$B$3</definedName>
    <definedName name="特定工程">リスト!$N$1:$N$12</definedName>
    <definedName name="二級">項目リスト!$B$3:$B$49</definedName>
    <definedName name="年度">リスト!$E$1:$E$22</definedName>
    <definedName name="便所">項目リスト!$AN$3:$AN$5</definedName>
    <definedName name="面積">リスト!$J$1:$J$4</definedName>
    <definedName name="木造">項目リスト!$C$3:$C$49</definedName>
    <definedName name="容積率">項目リスト!$E$2:$Q$2</definedName>
    <definedName name="用途区分">項目リスト!$AG$3:$AG$68</definedName>
    <definedName name="用途地域">項目リスト!$AE$3:$AE$15</definedName>
    <definedName name="和暦">リスト!$O$1:$O$3</definedName>
  </definedNames>
  <calcPr calcId="191029"/>
  <customWorkbookViews>
    <customWorkbookView name="terada - 個人用ビュー" guid="{2DA24103-744A-47E0-AFFB-F94A0E194D57}" mergeInterval="0" personalView="1" xWindow="2047" yWindow="11" windowWidth="1720" windowHeight="1010" tabRatio="947" activeSheetId="1"/>
    <customWorkbookView name="tokunaga - 個人用ビュー" guid="{D83ABAE7-1F4C-4C77-8E04-C5172671ED17}" mergeInterval="0" personalView="1" maximized="1" xWindow="1912" yWindow="-8" windowWidth="1936" windowHeight="1096" tabRatio="947" activeSheetId="2"/>
    <customWorkbookView name="kasumi-PC - 個人用ビュー" guid="{E028D9C5-4CBB-430B-B1F8-80DD1ABDFA29}" mergeInterval="0" personalView="1" maximized="1" xWindow="1912" yWindow="-8" windowWidth="1936" windowHeight="1096" tabRatio="947"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328" i="3" l="1"/>
  <c r="F1317" i="3"/>
  <c r="F1316" i="3"/>
  <c r="F1315" i="3"/>
  <c r="F1303" i="3"/>
  <c r="F1302" i="3"/>
  <c r="F1301" i="3"/>
  <c r="F1293" i="3"/>
  <c r="F1292" i="3"/>
  <c r="F1269" i="3"/>
  <c r="F1268" i="3"/>
  <c r="F1267" i="3"/>
  <c r="F1264" i="3"/>
  <c r="F1263" i="3"/>
  <c r="F1262" i="3"/>
  <c r="F1230" i="3"/>
  <c r="F1229" i="3"/>
  <c r="F1228" i="3"/>
  <c r="F1227" i="3"/>
  <c r="F1226" i="3"/>
  <c r="F1223" i="3"/>
  <c r="F1222" i="3"/>
  <c r="F1221" i="3"/>
  <c r="F1220" i="3"/>
  <c r="F1219" i="3"/>
  <c r="F1216" i="3"/>
  <c r="F1215" i="3"/>
  <c r="F1214" i="3"/>
  <c r="F1213" i="3"/>
  <c r="F1212" i="3"/>
  <c r="F1209" i="3"/>
  <c r="F1208" i="3"/>
  <c r="F1207" i="3"/>
  <c r="F1206" i="3"/>
  <c r="F1205" i="3"/>
  <c r="F1196" i="3"/>
  <c r="F1189" i="3"/>
  <c r="F1183" i="3"/>
  <c r="F1176" i="3"/>
  <c r="F1174" i="3"/>
  <c r="F1172" i="3"/>
  <c r="F1171" i="3"/>
  <c r="F1170" i="3"/>
  <c r="F1168" i="3"/>
  <c r="F1167" i="3"/>
  <c r="F1166" i="3"/>
  <c r="F1163" i="3"/>
  <c r="F1162" i="3"/>
  <c r="F1161" i="3"/>
  <c r="F1158" i="3"/>
  <c r="F1314" i="3" s="1"/>
  <c r="F1157" i="3"/>
  <c r="F1156" i="3"/>
  <c r="F1313" i="3" s="1"/>
  <c r="F1153" i="3"/>
  <c r="F1300" i="3" s="1"/>
  <c r="F1152" i="3"/>
  <c r="F1151" i="3"/>
  <c r="F1299" i="3" s="1"/>
  <c r="F1146" i="3"/>
  <c r="F1145" i="3"/>
  <c r="F1143" i="3"/>
  <c r="F1141" i="3"/>
  <c r="F1136" i="3"/>
  <c r="F1135" i="3"/>
  <c r="F1134" i="3"/>
  <c r="F1133" i="3"/>
  <c r="F1132" i="3"/>
  <c r="F1128" i="3"/>
  <c r="F1127" i="3"/>
  <c r="F1126" i="3"/>
  <c r="F1125" i="3"/>
  <c r="F1124" i="3"/>
  <c r="F1120" i="3"/>
  <c r="F1119" i="3"/>
  <c r="F1118" i="3"/>
  <c r="F1117" i="3"/>
  <c r="F1116" i="3"/>
  <c r="F1139" i="3" s="1"/>
  <c r="F1112" i="3"/>
  <c r="F1111" i="3"/>
  <c r="F1110" i="3"/>
  <c r="F1107" i="3"/>
  <c r="F1106" i="3"/>
  <c r="F1105" i="3"/>
  <c r="F1102" i="3"/>
  <c r="F1101" i="3"/>
  <c r="F1100" i="3"/>
  <c r="F1099" i="3"/>
  <c r="F1103" i="3" s="1"/>
  <c r="F1097" i="3"/>
  <c r="F1096" i="3"/>
  <c r="F1094" i="3"/>
  <c r="F1093" i="3"/>
  <c r="F1091" i="3"/>
  <c r="F1090" i="3"/>
  <c r="F1086" i="3"/>
  <c r="F1085" i="3"/>
  <c r="F1082" i="3"/>
  <c r="F1079" i="3"/>
  <c r="F1076" i="3"/>
  <c r="F1075" i="3"/>
  <c r="F1074" i="3"/>
  <c r="F1071" i="3"/>
  <c r="F1070" i="3"/>
  <c r="F1069" i="3"/>
  <c r="F1066" i="3"/>
  <c r="F1065" i="3"/>
  <c r="F1064" i="3"/>
  <c r="F1061" i="3"/>
  <c r="F1060" i="3"/>
  <c r="F1059" i="3"/>
  <c r="F1056" i="3"/>
  <c r="F1055" i="3"/>
  <c r="F1054" i="3"/>
  <c r="F1051" i="3"/>
  <c r="F1050" i="3"/>
  <c r="F1049" i="3"/>
  <c r="F1046" i="3"/>
  <c r="F1045" i="3"/>
  <c r="F1044" i="3"/>
  <c r="F1041" i="3"/>
  <c r="F1040" i="3"/>
  <c r="F1039" i="3"/>
  <c r="F1036" i="3"/>
  <c r="F1035" i="3"/>
  <c r="F1034" i="3"/>
  <c r="F1031" i="3"/>
  <c r="F1030" i="3"/>
  <c r="F1029" i="3"/>
  <c r="F1026" i="3"/>
  <c r="F1025" i="3"/>
  <c r="F1024" i="3"/>
  <c r="F1021" i="3"/>
  <c r="F1020" i="3"/>
  <c r="F1019" i="3"/>
  <c r="F1015" i="3"/>
  <c r="F1014" i="3"/>
  <c r="F1013" i="3"/>
  <c r="F1012" i="3"/>
  <c r="F1009" i="3"/>
  <c r="F1008" i="3"/>
  <c r="F1007" i="3"/>
  <c r="F1006" i="3"/>
  <c r="F1005" i="3"/>
  <c r="F1004" i="3"/>
  <c r="F1003" i="3"/>
  <c r="F1002" i="3"/>
  <c r="F1001" i="3"/>
  <c r="F998" i="3"/>
  <c r="F997" i="3"/>
  <c r="F996" i="3"/>
  <c r="F995" i="3"/>
  <c r="F994" i="3"/>
  <c r="F993" i="3"/>
  <c r="F991" i="3"/>
  <c r="F990" i="3"/>
  <c r="F989" i="3"/>
  <c r="F988" i="3"/>
  <c r="F987" i="3"/>
  <c r="F986" i="3"/>
  <c r="F985" i="3"/>
  <c r="F984" i="3"/>
  <c r="F983" i="3"/>
  <c r="F979" i="3"/>
  <c r="F978" i="3"/>
  <c r="F977" i="3"/>
  <c r="F976" i="3"/>
  <c r="F975" i="3"/>
  <c r="F974" i="3"/>
  <c r="F973" i="3"/>
  <c r="F980" i="3" s="1"/>
  <c r="F972" i="3"/>
  <c r="F971" i="3"/>
  <c r="F969" i="3"/>
  <c r="F967" i="3"/>
  <c r="F966" i="3"/>
  <c r="F968" i="3" s="1"/>
  <c r="F965" i="3"/>
  <c r="F963" i="3"/>
  <c r="F962" i="3"/>
  <c r="F961" i="3"/>
  <c r="F960" i="3"/>
  <c r="F959" i="3"/>
  <c r="F957" i="3"/>
  <c r="F956" i="3"/>
  <c r="F955" i="3"/>
  <c r="F954" i="3"/>
  <c r="F952" i="3"/>
  <c r="F951" i="3"/>
  <c r="F950" i="3"/>
  <c r="F949" i="3"/>
  <c r="F947" i="3"/>
  <c r="F946" i="3"/>
  <c r="F945" i="3"/>
  <c r="F944" i="3"/>
  <c r="F942" i="3"/>
  <c r="F941" i="3"/>
  <c r="F940" i="3"/>
  <c r="F939" i="3"/>
  <c r="F938" i="3"/>
  <c r="F937" i="3"/>
  <c r="F936" i="3"/>
  <c r="F935" i="3"/>
  <c r="F931" i="3"/>
  <c r="F930" i="3"/>
  <c r="F927" i="3"/>
  <c r="F925" i="3"/>
  <c r="F924" i="3"/>
  <c r="F923" i="3"/>
  <c r="F922" i="3"/>
  <c r="F921" i="3"/>
  <c r="F919" i="3"/>
  <c r="F918" i="3"/>
  <c r="F917" i="3"/>
  <c r="F916" i="3"/>
  <c r="F915" i="3"/>
  <c r="F914" i="3"/>
  <c r="F912" i="3"/>
  <c r="F913" i="3" s="1"/>
  <c r="F911" i="3"/>
  <c r="F908" i="3"/>
  <c r="F907" i="3"/>
  <c r="F906" i="3"/>
  <c r="F903" i="3"/>
  <c r="F902" i="3"/>
  <c r="F901" i="3"/>
  <c r="F897" i="3"/>
  <c r="F896" i="3"/>
  <c r="F895" i="3"/>
  <c r="F894" i="3"/>
  <c r="F893" i="3"/>
  <c r="F892" i="3"/>
  <c r="F890" i="3"/>
  <c r="F889" i="3"/>
  <c r="F888" i="3"/>
  <c r="F887" i="3"/>
  <c r="F886" i="3"/>
  <c r="F885" i="3"/>
  <c r="F884" i="3"/>
  <c r="F883" i="3"/>
  <c r="F882" i="3"/>
  <c r="F881" i="3"/>
  <c r="F880" i="3"/>
  <c r="F879" i="3"/>
  <c r="F872" i="3"/>
  <c r="F871" i="3"/>
  <c r="F867" i="3"/>
  <c r="F866" i="3"/>
  <c r="F865" i="3"/>
  <c r="F863" i="3"/>
  <c r="F862" i="3"/>
  <c r="F861" i="3"/>
  <c r="F860" i="3"/>
  <c r="F859" i="3"/>
  <c r="F858" i="3"/>
  <c r="F853" i="3"/>
  <c r="F852" i="3"/>
  <c r="F851" i="3"/>
  <c r="F854" i="3" s="1"/>
  <c r="F849" i="3"/>
  <c r="F848" i="3"/>
  <c r="F847" i="3"/>
  <c r="F850" i="3" s="1"/>
  <c r="F846" i="3"/>
  <c r="F845" i="3"/>
  <c r="F844" i="3"/>
  <c r="F839" i="3"/>
  <c r="F838" i="3"/>
  <c r="F837" i="3"/>
  <c r="F835" i="3"/>
  <c r="F831" i="3"/>
  <c r="F830" i="3"/>
  <c r="F829" i="3"/>
  <c r="F828" i="3"/>
  <c r="F827" i="3"/>
  <c r="F826" i="3"/>
  <c r="F825" i="3"/>
  <c r="F824" i="3"/>
  <c r="F821" i="3"/>
  <c r="F820" i="3"/>
  <c r="F819" i="3"/>
  <c r="F818" i="3"/>
  <c r="F817" i="3"/>
  <c r="F816" i="3"/>
  <c r="F815" i="3"/>
  <c r="F814" i="3"/>
  <c r="F811" i="3"/>
  <c r="F810" i="3"/>
  <c r="F809" i="3"/>
  <c r="F808" i="3"/>
  <c r="F807" i="3"/>
  <c r="F806" i="3"/>
  <c r="F805" i="3"/>
  <c r="F804" i="3"/>
  <c r="F801" i="3"/>
  <c r="F800" i="3"/>
  <c r="F799" i="3"/>
  <c r="F798" i="3"/>
  <c r="F797" i="3"/>
  <c r="F796" i="3"/>
  <c r="F795" i="3"/>
  <c r="F794" i="3"/>
  <c r="F791" i="3"/>
  <c r="F790" i="3"/>
  <c r="F789" i="3"/>
  <c r="F788" i="3"/>
  <c r="F787" i="3"/>
  <c r="F786" i="3"/>
  <c r="F785" i="3"/>
  <c r="F784" i="3"/>
  <c r="F781" i="3"/>
  <c r="F780" i="3"/>
  <c r="F779" i="3"/>
  <c r="F778" i="3"/>
  <c r="F834" i="3" s="1"/>
  <c r="F40" i="1" s="1"/>
  <c r="D40" i="1" s="1"/>
  <c r="B40" i="1" s="1"/>
  <c r="F39" i="1" s="1"/>
  <c r="D39" i="1" s="1"/>
  <c r="B39" i="1" s="1"/>
  <c r="F777" i="3"/>
  <c r="F776" i="3"/>
  <c r="F775" i="3"/>
  <c r="F774" i="3"/>
  <c r="F782" i="3" s="1"/>
  <c r="F771" i="3"/>
  <c r="F770" i="3"/>
  <c r="F769" i="3"/>
  <c r="F768" i="3"/>
  <c r="F767" i="3"/>
  <c r="F766" i="3"/>
  <c r="F765" i="3"/>
  <c r="F764" i="3"/>
  <c r="F763" i="3"/>
  <c r="F762" i="3"/>
  <c r="F761" i="3"/>
  <c r="F760" i="3"/>
  <c r="F759" i="3"/>
  <c r="F758" i="3"/>
  <c r="F755" i="3"/>
  <c r="F754" i="3"/>
  <c r="F753" i="3"/>
  <c r="F752" i="3"/>
  <c r="F751" i="3"/>
  <c r="F750" i="3"/>
  <c r="F749" i="3"/>
  <c r="F748" i="3"/>
  <c r="F747" i="3"/>
  <c r="F746" i="3"/>
  <c r="F745" i="3"/>
  <c r="F744" i="3"/>
  <c r="F743" i="3"/>
  <c r="F742" i="3"/>
  <c r="F739" i="3"/>
  <c r="F738" i="3"/>
  <c r="F737" i="3"/>
  <c r="F736" i="3"/>
  <c r="F735" i="3"/>
  <c r="F734" i="3"/>
  <c r="F733" i="3"/>
  <c r="F732" i="3"/>
  <c r="F731" i="3"/>
  <c r="F730" i="3"/>
  <c r="F729" i="3"/>
  <c r="F728" i="3"/>
  <c r="F727" i="3"/>
  <c r="F726" i="3"/>
  <c r="F723" i="3"/>
  <c r="F722" i="3"/>
  <c r="F721" i="3"/>
  <c r="F720" i="3"/>
  <c r="F719" i="3"/>
  <c r="F718" i="3"/>
  <c r="F717" i="3"/>
  <c r="F716" i="3"/>
  <c r="F715" i="3"/>
  <c r="F714" i="3"/>
  <c r="F713" i="3"/>
  <c r="F712" i="3"/>
  <c r="F711" i="3"/>
  <c r="F710" i="3"/>
  <c r="F707" i="3"/>
  <c r="F706" i="3"/>
  <c r="F705" i="3"/>
  <c r="F704" i="3"/>
  <c r="F703" i="3"/>
  <c r="F702" i="3"/>
  <c r="F701" i="3"/>
  <c r="F700" i="3"/>
  <c r="F699" i="3"/>
  <c r="F698" i="3"/>
  <c r="F697" i="3"/>
  <c r="F696" i="3"/>
  <c r="F695" i="3"/>
  <c r="F694" i="3"/>
  <c r="F691" i="3"/>
  <c r="F690" i="3"/>
  <c r="F689" i="3"/>
  <c r="F688" i="3"/>
  <c r="F687" i="3"/>
  <c r="F686" i="3"/>
  <c r="F685" i="3"/>
  <c r="F684" i="3"/>
  <c r="F683" i="3"/>
  <c r="F682" i="3"/>
  <c r="F681" i="3"/>
  <c r="F680" i="3"/>
  <c r="F679" i="3"/>
  <c r="F678" i="3"/>
  <c r="F675" i="3"/>
  <c r="F674" i="3"/>
  <c r="F673" i="3"/>
  <c r="F672" i="3"/>
  <c r="F671" i="3"/>
  <c r="F670" i="3"/>
  <c r="F669" i="3"/>
  <c r="F668" i="3"/>
  <c r="F667" i="3"/>
  <c r="F666" i="3"/>
  <c r="F665" i="3"/>
  <c r="F664" i="3"/>
  <c r="F663" i="3"/>
  <c r="F662" i="3"/>
  <c r="F659" i="3"/>
  <c r="F658" i="3"/>
  <c r="F657" i="3"/>
  <c r="F656" i="3"/>
  <c r="F655" i="3"/>
  <c r="F654" i="3"/>
  <c r="F653" i="3"/>
  <c r="F652" i="3"/>
  <c r="F651" i="3"/>
  <c r="F650" i="3"/>
  <c r="F649" i="3"/>
  <c r="F648" i="3"/>
  <c r="F647" i="3"/>
  <c r="F646" i="3"/>
  <c r="F643" i="3"/>
  <c r="F642" i="3"/>
  <c r="F641" i="3"/>
  <c r="F640" i="3"/>
  <c r="F639" i="3"/>
  <c r="F638" i="3"/>
  <c r="F637" i="3"/>
  <c r="F636" i="3"/>
  <c r="F635" i="3"/>
  <c r="F634" i="3"/>
  <c r="F633" i="3"/>
  <c r="F632" i="3"/>
  <c r="F631" i="3"/>
  <c r="F630" i="3"/>
  <c r="F627" i="3"/>
  <c r="F626" i="3"/>
  <c r="F625" i="3"/>
  <c r="F624" i="3"/>
  <c r="F623" i="3"/>
  <c r="F622" i="3"/>
  <c r="F621" i="3"/>
  <c r="F620" i="3"/>
  <c r="F619" i="3"/>
  <c r="F618" i="3"/>
  <c r="F617" i="3"/>
  <c r="F616" i="3"/>
  <c r="F615" i="3"/>
  <c r="F614" i="3"/>
  <c r="F611" i="3"/>
  <c r="F610" i="3"/>
  <c r="F609" i="3"/>
  <c r="F608" i="3"/>
  <c r="F607" i="3"/>
  <c r="F606" i="3"/>
  <c r="F605" i="3"/>
  <c r="F604" i="3"/>
  <c r="F603" i="3"/>
  <c r="F602" i="3"/>
  <c r="F601" i="3"/>
  <c r="F600" i="3"/>
  <c r="F599" i="3"/>
  <c r="F598" i="3"/>
  <c r="F595" i="3"/>
  <c r="F594" i="3"/>
  <c r="F593" i="3"/>
  <c r="F592" i="3"/>
  <c r="F591" i="3"/>
  <c r="F590" i="3"/>
  <c r="F589" i="3"/>
  <c r="F588" i="3"/>
  <c r="F587" i="3"/>
  <c r="F586" i="3"/>
  <c r="F585" i="3"/>
  <c r="F584" i="3"/>
  <c r="F583" i="3"/>
  <c r="F582" i="3"/>
  <c r="F581" i="3"/>
  <c r="F578" i="3"/>
  <c r="F577" i="3"/>
  <c r="F576" i="3"/>
  <c r="F575" i="3"/>
  <c r="F574" i="3"/>
  <c r="F573" i="3"/>
  <c r="F572" i="3"/>
  <c r="F570" i="3"/>
  <c r="F569" i="3"/>
  <c r="F568" i="3"/>
  <c r="F567" i="3"/>
  <c r="F566" i="3"/>
  <c r="F565" i="3"/>
  <c r="F564" i="3"/>
  <c r="F561" i="3"/>
  <c r="F560" i="3"/>
  <c r="F559" i="3"/>
  <c r="F558" i="3"/>
  <c r="F557" i="3"/>
  <c r="F556" i="3"/>
  <c r="F555" i="3"/>
  <c r="F552" i="3"/>
  <c r="F551" i="3"/>
  <c r="F550" i="3"/>
  <c r="F549" i="3"/>
  <c r="F548" i="3"/>
  <c r="F547" i="3"/>
  <c r="F546" i="3"/>
  <c r="F543" i="3"/>
  <c r="F542" i="3"/>
  <c r="F541" i="3"/>
  <c r="F540" i="3"/>
  <c r="F539" i="3"/>
  <c r="F538" i="3"/>
  <c r="F537" i="3"/>
  <c r="F533" i="3"/>
  <c r="F532" i="3"/>
  <c r="F531" i="3"/>
  <c r="F530" i="3"/>
  <c r="F529" i="3"/>
  <c r="F528" i="3"/>
  <c r="F527" i="3"/>
  <c r="F526" i="3"/>
  <c r="F525" i="3"/>
  <c r="F524" i="3"/>
  <c r="F521" i="3"/>
  <c r="F520" i="3"/>
  <c r="F519" i="3"/>
  <c r="F518" i="3"/>
  <c r="F517" i="3"/>
  <c r="F516" i="3"/>
  <c r="F515" i="3"/>
  <c r="F514" i="3"/>
  <c r="F513" i="3"/>
  <c r="F512" i="3"/>
  <c r="F509" i="3"/>
  <c r="F508" i="3"/>
  <c r="F507" i="3"/>
  <c r="F506" i="3"/>
  <c r="F505" i="3"/>
  <c r="F504" i="3"/>
  <c r="F503" i="3"/>
  <c r="F502" i="3"/>
  <c r="F501" i="3"/>
  <c r="F500" i="3"/>
  <c r="F497" i="3"/>
  <c r="F496" i="3"/>
  <c r="F495" i="3"/>
  <c r="F494" i="3"/>
  <c r="F493" i="3"/>
  <c r="F492" i="3"/>
  <c r="F491" i="3"/>
  <c r="F490" i="3"/>
  <c r="F489" i="3"/>
  <c r="F488" i="3"/>
  <c r="F484" i="3"/>
  <c r="F483" i="3"/>
  <c r="F482" i="3"/>
  <c r="F481" i="3"/>
  <c r="F480" i="3"/>
  <c r="F479" i="3"/>
  <c r="F478" i="3"/>
  <c r="F477" i="3"/>
  <c r="F476" i="3"/>
  <c r="F475" i="3"/>
  <c r="F474" i="3"/>
  <c r="F473" i="3"/>
  <c r="F472" i="3"/>
  <c r="F471" i="3"/>
  <c r="F470" i="3"/>
  <c r="F467" i="3"/>
  <c r="F466" i="3"/>
  <c r="F465" i="3"/>
  <c r="F464" i="3"/>
  <c r="F463" i="3"/>
  <c r="F462" i="3"/>
  <c r="F461" i="3"/>
  <c r="F460" i="3"/>
  <c r="F459" i="3"/>
  <c r="F458" i="3"/>
  <c r="F457" i="3"/>
  <c r="F456" i="3"/>
  <c r="F455" i="3"/>
  <c r="F454" i="3"/>
  <c r="F453" i="3"/>
  <c r="F450" i="3"/>
  <c r="F449" i="3"/>
  <c r="F448" i="3"/>
  <c r="F447" i="3"/>
  <c r="F446" i="3"/>
  <c r="F445" i="3"/>
  <c r="F444" i="3"/>
  <c r="F443" i="3"/>
  <c r="F442" i="3"/>
  <c r="F441" i="3"/>
  <c r="F440" i="3"/>
  <c r="F439" i="3"/>
  <c r="F438" i="3"/>
  <c r="F437" i="3"/>
  <c r="F436" i="3"/>
  <c r="F433" i="3"/>
  <c r="F432" i="3"/>
  <c r="F431" i="3"/>
  <c r="F430" i="3"/>
  <c r="F429" i="3"/>
  <c r="F428" i="3"/>
  <c r="F427" i="3"/>
  <c r="F426" i="3"/>
  <c r="F425" i="3"/>
  <c r="F424" i="3"/>
  <c r="F423" i="3"/>
  <c r="F422" i="3"/>
  <c r="F421" i="3"/>
  <c r="F420" i="3"/>
  <c r="F419" i="3"/>
  <c r="F416" i="3"/>
  <c r="F415" i="3"/>
  <c r="F414" i="3"/>
  <c r="F413" i="3"/>
  <c r="F412" i="3"/>
  <c r="F411" i="3"/>
  <c r="F410" i="3"/>
  <c r="F409" i="3"/>
  <c r="F408" i="3"/>
  <c r="F407" i="3"/>
  <c r="F406" i="3"/>
  <c r="F405" i="3"/>
  <c r="F404" i="3"/>
  <c r="F403" i="3"/>
  <c r="F402" i="3"/>
  <c r="F399" i="3"/>
  <c r="F398" i="3"/>
  <c r="F397" i="3"/>
  <c r="F396" i="3"/>
  <c r="F395" i="3"/>
  <c r="F394" i="3"/>
  <c r="F393" i="3"/>
  <c r="F392" i="3"/>
  <c r="F391" i="3"/>
  <c r="F390" i="3"/>
  <c r="F389" i="3"/>
  <c r="F388" i="3"/>
  <c r="F387" i="3"/>
  <c r="F386" i="3"/>
  <c r="F385" i="3"/>
  <c r="F382" i="3"/>
  <c r="F381" i="3"/>
  <c r="F380" i="3"/>
  <c r="F379" i="3"/>
  <c r="F378" i="3"/>
  <c r="F377" i="3"/>
  <c r="F376" i="3"/>
  <c r="F375" i="3"/>
  <c r="F374" i="3"/>
  <c r="F373" i="3"/>
  <c r="F372" i="3"/>
  <c r="F371" i="3"/>
  <c r="F370" i="3"/>
  <c r="F369" i="3"/>
  <c r="F368" i="3"/>
  <c r="F365" i="3"/>
  <c r="F364" i="3"/>
  <c r="F363" i="3"/>
  <c r="F362" i="3"/>
  <c r="F361" i="3"/>
  <c r="F360" i="3"/>
  <c r="F359" i="3"/>
  <c r="F358" i="3"/>
  <c r="F357" i="3"/>
  <c r="F356" i="3"/>
  <c r="F355" i="3"/>
  <c r="F354" i="3"/>
  <c r="F353" i="3"/>
  <c r="F352" i="3"/>
  <c r="F351" i="3"/>
  <c r="F348" i="3"/>
  <c r="F347" i="3"/>
  <c r="F346" i="3"/>
  <c r="F345" i="3"/>
  <c r="F344" i="3"/>
  <c r="F343" i="3"/>
  <c r="F342" i="3"/>
  <c r="F341" i="3"/>
  <c r="F340" i="3"/>
  <c r="F339" i="3"/>
  <c r="F338" i="3"/>
  <c r="F337" i="3"/>
  <c r="F336" i="3"/>
  <c r="F335" i="3"/>
  <c r="F334" i="3"/>
  <c r="F331" i="3"/>
  <c r="F330" i="3"/>
  <c r="F329" i="3"/>
  <c r="F328" i="3"/>
  <c r="F327" i="3"/>
  <c r="F326" i="3"/>
  <c r="F325" i="3"/>
  <c r="F324" i="3"/>
  <c r="F323" i="3"/>
  <c r="F322" i="3"/>
  <c r="F321" i="3"/>
  <c r="F320" i="3"/>
  <c r="F319" i="3"/>
  <c r="F318" i="3"/>
  <c r="F317" i="3"/>
  <c r="F314" i="3"/>
  <c r="F313" i="3"/>
  <c r="F312" i="3"/>
  <c r="F311" i="3"/>
  <c r="F310" i="3"/>
  <c r="F309" i="3"/>
  <c r="F308" i="3"/>
  <c r="F307" i="3"/>
  <c r="F306" i="3"/>
  <c r="F305" i="3"/>
  <c r="F304" i="3"/>
  <c r="F303" i="3"/>
  <c r="F302" i="3"/>
  <c r="F301" i="3"/>
  <c r="F300" i="3"/>
  <c r="F297" i="3"/>
  <c r="F296" i="3"/>
  <c r="F295" i="3"/>
  <c r="F294" i="3"/>
  <c r="F293" i="3"/>
  <c r="F292" i="3"/>
  <c r="F291" i="3"/>
  <c r="F290" i="3"/>
  <c r="F289" i="3"/>
  <c r="F288" i="3"/>
  <c r="F287" i="3"/>
  <c r="F286" i="3"/>
  <c r="F285" i="3"/>
  <c r="F284" i="3"/>
  <c r="F283" i="3"/>
  <c r="F280" i="3"/>
  <c r="F279" i="3"/>
  <c r="F278" i="3"/>
  <c r="F277" i="3"/>
  <c r="F276" i="3"/>
  <c r="F275" i="3"/>
  <c r="F274" i="3"/>
  <c r="F273" i="3"/>
  <c r="F272" i="3"/>
  <c r="F271" i="3"/>
  <c r="F270" i="3"/>
  <c r="F269" i="3"/>
  <c r="F268" i="3"/>
  <c r="F267" i="3"/>
  <c r="F266" i="3"/>
  <c r="F265" i="3"/>
  <c r="F262" i="3"/>
  <c r="F261" i="3"/>
  <c r="F260" i="3"/>
  <c r="F259" i="3"/>
  <c r="F258" i="3"/>
  <c r="F257" i="3"/>
  <c r="F256" i="3"/>
  <c r="F255" i="3"/>
  <c r="F254" i="3"/>
  <c r="F253" i="3"/>
  <c r="F252" i="3"/>
  <c r="F251" i="3"/>
  <c r="F250" i="3"/>
  <c r="F249" i="3"/>
  <c r="F248" i="3"/>
  <c r="F247" i="3"/>
  <c r="F244" i="3"/>
  <c r="F243" i="3"/>
  <c r="F242" i="3"/>
  <c r="F241" i="3"/>
  <c r="F240" i="3"/>
  <c r="F239" i="3"/>
  <c r="F238" i="3"/>
  <c r="F237" i="3"/>
  <c r="F236" i="3"/>
  <c r="F235" i="3"/>
  <c r="F234" i="3"/>
  <c r="F233" i="3"/>
  <c r="F232" i="3"/>
  <c r="F231" i="3"/>
  <c r="F230" i="3"/>
  <c r="F229" i="3"/>
  <c r="F226" i="3"/>
  <c r="F225" i="3"/>
  <c r="F224" i="3"/>
  <c r="F223" i="3"/>
  <c r="F222" i="3"/>
  <c r="F221" i="3"/>
  <c r="F220" i="3"/>
  <c r="F219" i="3"/>
  <c r="F218" i="3"/>
  <c r="F217" i="3"/>
  <c r="F216" i="3"/>
  <c r="F215" i="3"/>
  <c r="F214" i="3"/>
  <c r="F213" i="3"/>
  <c r="F212" i="3"/>
  <c r="F211" i="3"/>
  <c r="F207" i="3"/>
  <c r="F206" i="3"/>
  <c r="F205" i="3"/>
  <c r="F204" i="3"/>
  <c r="F203" i="3"/>
  <c r="F202" i="3"/>
  <c r="F201" i="3"/>
  <c r="F200" i="3"/>
  <c r="F199" i="3"/>
  <c r="F198" i="3"/>
  <c r="F197" i="3"/>
  <c r="F196" i="3"/>
  <c r="F195" i="3"/>
  <c r="F208" i="3" s="1"/>
  <c r="F194" i="3"/>
  <c r="F193" i="3"/>
  <c r="F192" i="3"/>
  <c r="F191" i="3"/>
  <c r="F190" i="3"/>
  <c r="F187" i="3"/>
  <c r="F186" i="3"/>
  <c r="F185" i="3"/>
  <c r="F184" i="3"/>
  <c r="F183" i="3"/>
  <c r="F182" i="3"/>
  <c r="F181" i="3"/>
  <c r="F180" i="3"/>
  <c r="F179" i="3"/>
  <c r="F176" i="3"/>
  <c r="F175" i="3"/>
  <c r="F174" i="3"/>
  <c r="F173" i="3"/>
  <c r="F172" i="3"/>
  <c r="F171" i="3"/>
  <c r="F170" i="3"/>
  <c r="F169" i="3"/>
  <c r="F168" i="3"/>
  <c r="F165" i="3"/>
  <c r="F164" i="3"/>
  <c r="F163" i="3"/>
  <c r="F162" i="3"/>
  <c r="F161" i="3"/>
  <c r="F160" i="3"/>
  <c r="F159" i="3"/>
  <c r="F158" i="3"/>
  <c r="F157" i="3"/>
  <c r="F154" i="3"/>
  <c r="F153" i="3"/>
  <c r="F152" i="3"/>
  <c r="F151" i="3"/>
  <c r="F150" i="3"/>
  <c r="F149" i="3"/>
  <c r="F148" i="3"/>
  <c r="F147" i="3"/>
  <c r="F146" i="3"/>
  <c r="F145" i="3"/>
  <c r="F141" i="3"/>
  <c r="F140" i="3"/>
  <c r="F139" i="3"/>
  <c r="F138" i="3"/>
  <c r="F137" i="3"/>
  <c r="F142" i="3" s="1"/>
  <c r="F136" i="3"/>
  <c r="F135" i="3"/>
  <c r="F134" i="3"/>
  <c r="F133" i="3"/>
  <c r="F130" i="3"/>
  <c r="F129" i="3"/>
  <c r="F128" i="3"/>
  <c r="F127" i="3"/>
  <c r="F126" i="3"/>
  <c r="F125" i="3"/>
  <c r="F124" i="3"/>
  <c r="F123" i="3"/>
  <c r="F122" i="3"/>
  <c r="F121" i="3"/>
  <c r="F118" i="3"/>
  <c r="F117" i="3"/>
  <c r="F116" i="3"/>
  <c r="F115" i="3"/>
  <c r="F114" i="3"/>
  <c r="F113" i="3"/>
  <c r="F112" i="3"/>
  <c r="F111" i="3"/>
  <c r="F110" i="3"/>
  <c r="F109" i="3"/>
  <c r="F108" i="3"/>
  <c r="F104" i="3"/>
  <c r="F103" i="3"/>
  <c r="F102" i="3"/>
  <c r="F101" i="3"/>
  <c r="F100" i="3"/>
  <c r="F99" i="3"/>
  <c r="F98" i="3"/>
  <c r="F97" i="3"/>
  <c r="F96" i="3"/>
  <c r="F95" i="3"/>
  <c r="F94" i="3"/>
  <c r="F91" i="3"/>
  <c r="F89" i="3"/>
  <c r="F88" i="3"/>
  <c r="F87" i="3"/>
  <c r="F85" i="3"/>
  <c r="F84" i="3"/>
  <c r="F83" i="3"/>
  <c r="F82" i="3"/>
  <c r="F81" i="3"/>
  <c r="F80" i="3"/>
  <c r="F79" i="3"/>
  <c r="F78" i="3"/>
  <c r="F86" i="3" s="1"/>
  <c r="F77" i="3"/>
  <c r="F76" i="3"/>
  <c r="F75" i="3"/>
  <c r="F74" i="3"/>
  <c r="F71" i="3"/>
  <c r="F68" i="3"/>
  <c r="F61" i="3"/>
  <c r="F60" i="3"/>
  <c r="F59" i="3"/>
  <c r="F58" i="3"/>
  <c r="F56" i="3"/>
  <c r="F54" i="3"/>
  <c r="F53" i="3"/>
  <c r="F52" i="3"/>
  <c r="F51" i="3"/>
  <c r="F48" i="3"/>
  <c r="F46" i="3"/>
  <c r="F44" i="3"/>
  <c r="F43" i="3"/>
  <c r="F42" i="3"/>
  <c r="F40" i="3"/>
  <c r="F38" i="3"/>
  <c r="F35" i="3"/>
  <c r="F34" i="3"/>
  <c r="F26" i="3"/>
  <c r="F1251" i="3" s="1"/>
  <c r="F22" i="3"/>
  <c r="F21" i="3"/>
  <c r="F20" i="3"/>
  <c r="F19" i="3"/>
  <c r="F65" i="3" s="1"/>
  <c r="F18" i="3"/>
  <c r="F17" i="3"/>
  <c r="F16" i="3"/>
  <c r="F15" i="3"/>
  <c r="F14" i="3"/>
  <c r="F13" i="3"/>
  <c r="F12" i="3"/>
  <c r="F11" i="3"/>
  <c r="F9" i="3"/>
  <c r="E63" i="1" s="1"/>
  <c r="D63" i="1" s="1"/>
  <c r="B63" i="1" s="1"/>
  <c r="F7" i="3"/>
  <c r="D69" i="1"/>
  <c r="F16" i="1"/>
  <c r="D16" i="1" s="1"/>
  <c r="B16" i="1" s="1"/>
  <c r="F15" i="1" s="1"/>
  <c r="D12" i="1"/>
  <c r="B12" i="1"/>
  <c r="D11" i="1"/>
  <c r="B11" i="1"/>
  <c r="AF2" i="1"/>
  <c r="AE2" i="1"/>
  <c r="AD2" i="1"/>
  <c r="AC2" i="1"/>
  <c r="AB2" i="1"/>
  <c r="AA2" i="1"/>
  <c r="Z2" i="1"/>
  <c r="Y2" i="1"/>
  <c r="X2" i="1"/>
  <c r="W2" i="1"/>
  <c r="V2" i="1"/>
  <c r="U2" i="1"/>
  <c r="T2" i="1"/>
  <c r="S2" i="1"/>
  <c r="R2" i="1"/>
  <c r="Q2" i="1"/>
  <c r="P2" i="1"/>
  <c r="O2" i="1"/>
  <c r="N2" i="1"/>
  <c r="M2" i="1"/>
  <c r="L2" i="1"/>
  <c r="K2" i="1"/>
  <c r="E39" i="1" s="1"/>
  <c r="J2" i="1"/>
  <c r="I2" i="1"/>
  <c r="H2" i="1"/>
  <c r="G2" i="1"/>
  <c r="E67" i="1" s="1"/>
  <c r="D67" i="1" s="1"/>
  <c r="B67" i="1" s="1"/>
  <c r="O53" i="133" l="1"/>
  <c r="E52" i="133"/>
  <c r="E50" i="133"/>
  <c r="F32" i="3"/>
  <c r="F90" i="3"/>
  <c r="E54" i="1"/>
  <c r="D54" i="1" s="1"/>
  <c r="B54" i="1" s="1"/>
  <c r="E31" i="1"/>
  <c r="D31" i="1" s="1"/>
  <c r="B31" i="1" s="1"/>
  <c r="E49" i="1"/>
  <c r="D49" i="1" s="1"/>
  <c r="B49" i="1" s="1"/>
  <c r="E57" i="1"/>
  <c r="D57" i="1" s="1"/>
  <c r="B57" i="1" s="1"/>
  <c r="E65" i="1"/>
  <c r="D65" i="1" s="1"/>
  <c r="B65" i="1" s="1"/>
  <c r="F31" i="3"/>
  <c r="E18" i="1"/>
  <c r="D18" i="1" s="1"/>
  <c r="B18" i="1" s="1"/>
  <c r="E26" i="1"/>
  <c r="D26" i="1" s="1"/>
  <c r="B26" i="1" s="1"/>
  <c r="E34" i="1"/>
  <c r="D34" i="1" s="1"/>
  <c r="B34" i="1" s="1"/>
  <c r="E44" i="1"/>
  <c r="D44" i="1" s="1"/>
  <c r="B44" i="1" s="1"/>
  <c r="E52" i="1"/>
  <c r="D52" i="1" s="1"/>
  <c r="B52" i="1" s="1"/>
  <c r="E60" i="1"/>
  <c r="D60" i="1" s="1"/>
  <c r="B60" i="1" s="1"/>
  <c r="E69" i="1"/>
  <c r="E11" i="1"/>
  <c r="E16" i="1"/>
  <c r="E21" i="1"/>
  <c r="D21" i="1" s="1"/>
  <c r="B21" i="1" s="1"/>
  <c r="E29" i="1"/>
  <c r="D29" i="1" s="1"/>
  <c r="B29" i="1" s="1"/>
  <c r="E37" i="1"/>
  <c r="D37" i="1" s="1"/>
  <c r="B37" i="1" s="1"/>
  <c r="E47" i="1"/>
  <c r="D47" i="1" s="1"/>
  <c r="B47" i="1" s="1"/>
  <c r="E55" i="1"/>
  <c r="D55" i="1" s="1"/>
  <c r="B55" i="1" s="1"/>
  <c r="F1197" i="3"/>
  <c r="F1233" i="3"/>
  <c r="F1296" i="3"/>
  <c r="F1198" i="3"/>
  <c r="F1234" i="3"/>
  <c r="E46" i="1"/>
  <c r="D46" i="1" s="1"/>
  <c r="B46" i="1" s="1"/>
  <c r="E41" i="1"/>
  <c r="D41" i="1" s="1"/>
  <c r="B41" i="1" s="1"/>
  <c r="E14" i="1"/>
  <c r="D14" i="1" s="1"/>
  <c r="B14" i="1" s="1"/>
  <c r="E32" i="1"/>
  <c r="D32" i="1" s="1"/>
  <c r="B32" i="1" s="1"/>
  <c r="E42" i="1"/>
  <c r="D42" i="1" s="1"/>
  <c r="B42" i="1" s="1"/>
  <c r="E50" i="1"/>
  <c r="D50" i="1" s="1"/>
  <c r="B50" i="1" s="1"/>
  <c r="E66" i="1"/>
  <c r="D66" i="1" s="1"/>
  <c r="B66" i="1" s="1"/>
  <c r="E19" i="1"/>
  <c r="D19" i="1" s="1"/>
  <c r="B19" i="1" s="1"/>
  <c r="E27" i="1"/>
  <c r="D27" i="1" s="1"/>
  <c r="B27" i="1" s="1"/>
  <c r="F1199" i="3"/>
  <c r="F1235" i="3"/>
  <c r="F1247" i="3"/>
  <c r="E20" i="1"/>
  <c r="D20" i="1" s="1"/>
  <c r="B20" i="1" s="1"/>
  <c r="E36" i="1"/>
  <c r="D36" i="1" s="1"/>
  <c r="B36" i="1" s="1"/>
  <c r="E62" i="1"/>
  <c r="D62" i="1" s="1"/>
  <c r="B62" i="1" s="1"/>
  <c r="E45" i="1"/>
  <c r="D45" i="1" s="1"/>
  <c r="B45" i="1" s="1"/>
  <c r="E70" i="1"/>
  <c r="D70" i="1" s="1"/>
  <c r="B70" i="1" s="1"/>
  <c r="F27" i="3"/>
  <c r="E22" i="1"/>
  <c r="D22" i="1" s="1"/>
  <c r="B22" i="1" s="1"/>
  <c r="E48" i="1"/>
  <c r="D48" i="1" s="1"/>
  <c r="B48" i="1" s="1"/>
  <c r="E64" i="1"/>
  <c r="D64" i="1" s="1"/>
  <c r="B64" i="1" s="1"/>
  <c r="F1201" i="3"/>
  <c r="F1236" i="3"/>
  <c r="F1248" i="3"/>
  <c r="E10" i="1"/>
  <c r="D10" i="1" s="1"/>
  <c r="B10" i="1" s="1"/>
  <c r="E28" i="1"/>
  <c r="D28" i="1" s="1"/>
  <c r="B28" i="1" s="1"/>
  <c r="E68" i="1"/>
  <c r="E13" i="1"/>
  <c r="D13" i="1" s="1"/>
  <c r="B13" i="1" s="1"/>
  <c r="E23" i="1"/>
  <c r="D23" i="1" s="1"/>
  <c r="B23" i="1" s="1"/>
  <c r="E24" i="1"/>
  <c r="D24" i="1" s="1"/>
  <c r="B24" i="1" s="1"/>
  <c r="E58" i="1"/>
  <c r="D58" i="1" s="1"/>
  <c r="B58" i="1" s="1"/>
  <c r="E35" i="1"/>
  <c r="D35" i="1" s="1"/>
  <c r="B35" i="1" s="1"/>
  <c r="E40" i="1"/>
  <c r="E53" i="1"/>
  <c r="D53" i="1" s="1"/>
  <c r="B53" i="1" s="1"/>
  <c r="E61" i="1"/>
  <c r="D61" i="1" s="1"/>
  <c r="B61" i="1" s="1"/>
  <c r="F63" i="3"/>
  <c r="E12" i="1"/>
  <c r="E30" i="1"/>
  <c r="D30" i="1" s="1"/>
  <c r="B30" i="1" s="1"/>
  <c r="E38" i="1"/>
  <c r="D38" i="1" s="1"/>
  <c r="B38" i="1" s="1"/>
  <c r="E56" i="1"/>
  <c r="D56" i="1" s="1"/>
  <c r="B56" i="1" s="1"/>
  <c r="F28" i="3"/>
  <c r="E15" i="1"/>
  <c r="D15" i="1" s="1"/>
  <c r="B15" i="1" s="1"/>
  <c r="E17" i="1"/>
  <c r="D17" i="1" s="1"/>
  <c r="B17" i="1" s="1"/>
  <c r="E25" i="1"/>
  <c r="D25" i="1" s="1"/>
  <c r="B25" i="1" s="1"/>
  <c r="E33" i="1"/>
  <c r="D33" i="1" s="1"/>
  <c r="B33" i="1" s="1"/>
  <c r="E43" i="1"/>
  <c r="D43" i="1" s="1"/>
  <c r="B43" i="1" s="1"/>
  <c r="E51" i="1"/>
  <c r="D51" i="1" s="1"/>
  <c r="B51" i="1" s="1"/>
  <c r="E59" i="1"/>
  <c r="D59" i="1" s="1"/>
  <c r="B59" i="1" s="1"/>
  <c r="F29" i="3"/>
  <c r="F66" i="3"/>
  <c r="F105" i="3"/>
  <c r="F1237" i="3"/>
  <c r="F1249" i="3"/>
  <c r="F30" i="3"/>
  <c r="F1191" i="3"/>
  <c r="F1250" i="3"/>
  <c r="F1194" i="3"/>
  <c r="F1278" i="3" l="1"/>
  <c r="F1289" i="3"/>
  <c r="F1277" i="3"/>
  <c r="F1288" i="3"/>
  <c r="F1287" i="3"/>
  <c r="F1279" i="3"/>
  <c r="F1274" i="3"/>
  <c r="F1273" i="3"/>
  <c r="F1284" i="3"/>
  <c r="F1272" i="3"/>
  <c r="F1283" i="3"/>
  <c r="F1282" i="3"/>
  <c r="F1306" i="3"/>
  <c r="F1325" i="3"/>
  <c r="F1324" i="3"/>
  <c r="F1323" i="3"/>
  <c r="F1310" i="3"/>
  <c r="F1322" i="3"/>
  <c r="F1309" i="3"/>
  <c r="F1321" i="3"/>
  <c r="F1308" i="3"/>
  <c r="F1307" i="3"/>
  <c r="F1241" i="3"/>
  <c r="F1240" i="3"/>
  <c r="F1258" i="3"/>
  <c r="F1257" i="3"/>
  <c r="F1256" i="3"/>
  <c r="F1244" i="3"/>
  <c r="F1255" i="3"/>
  <c r="F1243" i="3"/>
  <c r="F1254" i="3"/>
  <c r="F1242" i="3"/>
</calcChain>
</file>

<file path=xl/sharedStrings.xml><?xml version="1.0" encoding="utf-8"?>
<sst xmlns="http://schemas.openxmlformats.org/spreadsheetml/2006/main" count="4021" uniqueCount="2864">
  <si>
    <t>記</t>
  </si>
  <si>
    <t>建築基準法第７条の４第１項の規定による中間検査</t>
  </si>
  <si>
    <t>建築基準法第７条の２第１項の規定による完了検査</t>
  </si>
  <si>
    <t>氏名</t>
  </si>
  <si>
    <t>月</t>
  </si>
  <si>
    <t>号</t>
  </si>
  <si>
    <t>その他</t>
  </si>
  <si>
    <t>建築主</t>
  </si>
  <si>
    <t>郵便番号</t>
  </si>
  <si>
    <t>住所</t>
  </si>
  <si>
    <t>電話番号</t>
  </si>
  <si>
    <t>所在地</t>
  </si>
  <si>
    <t>確認済証番号</t>
  </si>
  <si>
    <t>確認済証交付者</t>
  </si>
  <si>
    <t>営業所名</t>
  </si>
  <si>
    <t>事務所等</t>
  </si>
  <si>
    <t>工場、作業場</t>
  </si>
  <si>
    <t>倉庫</t>
  </si>
  <si>
    <t>学校</t>
  </si>
  <si>
    <t>病院、診療所</t>
  </si>
  <si>
    <t>木造</t>
  </si>
  <si>
    <t>鉄骨造</t>
  </si>
  <si>
    <t>構造</t>
  </si>
  <si>
    <t>工事種別</t>
  </si>
  <si>
    <t>出力シート名</t>
  </si>
  <si>
    <t>**_output_sheetname</t>
  </si>
  <si>
    <t>cst__output_sheetname</t>
  </si>
  <si>
    <t>タイトル</t>
  </si>
  <si>
    <t>**_output_title</t>
  </si>
  <si>
    <t>cst__output_title</t>
  </si>
  <si>
    <t>第三面</t>
  </si>
  <si>
    <t>役職</t>
  </si>
  <si>
    <t/>
  </si>
  <si>
    <t>会社名</t>
  </si>
  <si>
    <t>事務所 資格</t>
  </si>
  <si>
    <t>事務所名</t>
  </si>
  <si>
    <t>各申請書のセルの色について</t>
  </si>
  <si>
    <t xml:space="preserve"> →黄色のセルは直接入力してください。</t>
  </si>
  <si>
    <t xml:space="preserve"> →緑色のセルは選択肢から選んでください。</t>
  </si>
  <si>
    <t xml:space="preserve"> →水色のセルはNICEシステムで入力した内容が初期表示されています。</t>
  </si>
  <si>
    <t>主要用途</t>
  </si>
  <si>
    <t>フリガナ</t>
  </si>
  <si>
    <t>□</t>
  </si>
  <si>
    <t>　</t>
  </si>
  <si>
    <t>引受番号</t>
  </si>
  <si>
    <t>引受日</t>
  </si>
  <si>
    <t>確認済証交付日</t>
  </si>
  <si>
    <t>代理者</t>
  </si>
  <si>
    <t>施工者</t>
  </si>
  <si>
    <t>備考（建築物名称）</t>
  </si>
  <si>
    <t>第四面</t>
  </si>
  <si>
    <t>内外の別</t>
  </si>
  <si>
    <t>階数－地上</t>
  </si>
  <si>
    <t>階数－地下</t>
  </si>
  <si>
    <t>構造の一部</t>
  </si>
  <si>
    <t>高さ－最高の高さ</t>
  </si>
  <si>
    <t>高さ－最高の軒の高さ</t>
  </si>
  <si>
    <t>一戸建ての住宅</t>
  </si>
  <si>
    <t>項目名</t>
  </si>
  <si>
    <t>セル名</t>
  </si>
  <si>
    <t>データ</t>
  </si>
  <si>
    <t>Customセル名</t>
  </si>
  <si>
    <t>Customデータ</t>
  </si>
  <si>
    <t>**wsjob_TARGET_KIND__label</t>
  </si>
  <si>
    <t>**shinsei_UKETUKE_NO</t>
  </si>
  <si>
    <t>**shinsei_HIKIUKE_DATE</t>
  </si>
  <si>
    <t>**shinsei_ISSUE_NO</t>
  </si>
  <si>
    <t>**wskakunin_owner1_NAME</t>
  </si>
  <si>
    <t>**wskakunin_owner1_NAME_KANA</t>
  </si>
  <si>
    <t>**wskakunin_owner1_ZIP</t>
  </si>
  <si>
    <t>**wskakunin_owner1__address</t>
  </si>
  <si>
    <t>**wskakunin_owner1_TEL</t>
  </si>
  <si>
    <t>**wskakunin_dairi1_NAME</t>
  </si>
  <si>
    <t>**wskakunin_dairi1_NAME_KANA</t>
  </si>
  <si>
    <t>**wskakunin_dairi1_JIMU_NAME</t>
  </si>
  <si>
    <t>**wskakunin_dairi1_ZIP</t>
  </si>
  <si>
    <t>**wskakunin_dairi1__address</t>
  </si>
  <si>
    <t>**wskakunin_dairi1_TEL</t>
  </si>
  <si>
    <t>**wskakunin_sekkei1__sikaku</t>
  </si>
  <si>
    <t>**wskakunin_sekkei1_NAME</t>
  </si>
  <si>
    <t>**wskakunin_sekkei1_JIMU_NAME</t>
  </si>
  <si>
    <t>**wskakunin_sekkei1_ZIP</t>
  </si>
  <si>
    <t>cst_shinsei_UKETUKE_NO</t>
  </si>
  <si>
    <t>cst_shinsei_HIKIUKE_DATE</t>
  </si>
  <si>
    <t>cst_shinsei_ISSUE_DATE</t>
  </si>
  <si>
    <t>cst_wskakunin_owner1_POST</t>
  </si>
  <si>
    <t>cst_wskakunin_owner1_NAME</t>
  </si>
  <si>
    <t>cst_wskakunin_owner1_NAME_KANA</t>
  </si>
  <si>
    <t>cst_wskakunin_owner1_ZIP</t>
  </si>
  <si>
    <t>cst_wskakunin_owner1__address</t>
  </si>
  <si>
    <t>cst_wskakunin_owner1_TEL</t>
  </si>
  <si>
    <t>cst_wskakunin_dairi1__sikaku</t>
  </si>
  <si>
    <t>cst_wskakunin_dairi1_NAME_KANA</t>
  </si>
  <si>
    <t>cst_wskakunin_dairi1_JIMU__sikaku</t>
  </si>
  <si>
    <t>会社名&lt;改行&gt;
役職&lt;スペース&gt;氏名</t>
  </si>
  <si>
    <t>役職&lt;スペース&gt;氏名</t>
  </si>
  <si>
    <t>会社名&lt;スペース&gt;役職&lt;スペース&gt;氏名</t>
  </si>
  <si>
    <t>会社名&lt;スペース&gt;氏名</t>
  </si>
  <si>
    <t>会社名フリガナ</t>
  </si>
  <si>
    <t>役職フリガナ</t>
  </si>
  <si>
    <t>氏名フリガナ</t>
  </si>
  <si>
    <t>会社名フリガナ&lt;スペース&gt;役職フリガナ&lt;スペース&gt;氏名フリガナ</t>
  </si>
  <si>
    <t>cst_wskakunin_dairi1_JIMU_NAME</t>
  </si>
  <si>
    <t>cst_wskakunin_dairi1_ZIP</t>
  </si>
  <si>
    <t>cst_wskakunin_dairi1__address</t>
  </si>
  <si>
    <t>cst_wskakunin_dairi1_TEL</t>
  </si>
  <si>
    <t>cst_wskakunin_sekkei1_NAME</t>
  </si>
  <si>
    <t>cst_wskakunin_sekkei1_JIMU__sikaku</t>
  </si>
  <si>
    <t>cst_wskakunin_sekkei1_JIMU_NAME</t>
  </si>
  <si>
    <t>cst_wskakunin_sekkei1_ZIP</t>
  </si>
  <si>
    <t>cst_wsjob_TARGET_KIND__label</t>
  </si>
  <si>
    <t>cst_shinsei_ISSUE_NO</t>
  </si>
  <si>
    <t>cst_wskakunin_owner1__space</t>
  </si>
  <si>
    <t>cst_wskakunin_owner1__space2</t>
  </si>
  <si>
    <t>cst_wskakunin_dairi1__space</t>
  </si>
  <si>
    <t>申請書</t>
  </si>
  <si>
    <t>容積率</t>
  </si>
  <si>
    <t>建ぺい率</t>
  </si>
  <si>
    <t>工事届</t>
  </si>
  <si>
    <t>一級</t>
  </si>
  <si>
    <t>二級</t>
  </si>
  <si>
    <t>第一種低層住居専用地域</t>
  </si>
  <si>
    <t>第二種低層住居専用地域</t>
  </si>
  <si>
    <t>第一種中高層住居専用地域</t>
  </si>
  <si>
    <t>第二種中高層住居専用地域</t>
  </si>
  <si>
    <t>第一種住居地域</t>
  </si>
  <si>
    <t>第二種住居地域</t>
  </si>
  <si>
    <t>準住居地域</t>
  </si>
  <si>
    <t>近隣商業地域</t>
  </si>
  <si>
    <t>商業地域</t>
  </si>
  <si>
    <t>準工業地域</t>
  </si>
  <si>
    <t>工業地域</t>
  </si>
  <si>
    <t>工業専用地域</t>
  </si>
  <si>
    <t>指定なし</t>
  </si>
  <si>
    <t>用途地域</t>
  </si>
  <si>
    <t>建物構造</t>
  </si>
  <si>
    <t>用途区分（建築物）</t>
  </si>
  <si>
    <t>名称（建築物）</t>
  </si>
  <si>
    <t>用途区分（工作物1）</t>
  </si>
  <si>
    <t>名称（工作物1）</t>
  </si>
  <si>
    <t>用途区分（工作物2）</t>
  </si>
  <si>
    <t>名称（工作物2）</t>
  </si>
  <si>
    <t>耐火建築物</t>
  </si>
  <si>
    <t>便所の種類</t>
  </si>
  <si>
    <t>大臣</t>
  </si>
  <si>
    <t>埼玉県知事</t>
  </si>
  <si>
    <t>なし</t>
  </si>
  <si>
    <t>08010</t>
  </si>
  <si>
    <t>06310</t>
  </si>
  <si>
    <t xml:space="preserve">煙突（支わく及び支線がある場合においては、これらを含み、ストーブの煙突を除く。） </t>
  </si>
  <si>
    <t>06410</t>
  </si>
  <si>
    <t>鉱物、岩石その他の粉砕で原動機を使用するもの、レディミクストコンクリートの製造等で出力の合計が2.5キロワットを超える原動機を使用するもの及びアスファルト、コールタール、木タール、石油蒸留産物又はその残りかすを原料とする製造を行うもの</t>
  </si>
  <si>
    <t>水洗</t>
  </si>
  <si>
    <t>01</t>
  </si>
  <si>
    <t>東京都知事</t>
  </si>
  <si>
    <t>木造軸組</t>
  </si>
  <si>
    <t>08020</t>
  </si>
  <si>
    <t>長屋</t>
  </si>
  <si>
    <t>06320</t>
  </si>
  <si>
    <t xml:space="preserve">鉄筋コンクリート造の柱、鉄柱、木柱その他これらに類するもの（旗ざお並びに架空電線路用及び電気事業者の保安通信設備用のものを除く。） H=15m超 </t>
  </si>
  <si>
    <t>06420</t>
  </si>
  <si>
    <t>自動車車庫の用途に供するもの</t>
  </si>
  <si>
    <t>準耐火建築物（イ-1）</t>
  </si>
  <si>
    <t>くみ取り</t>
  </si>
  <si>
    <t>02</t>
  </si>
  <si>
    <t>千葉県知事</t>
  </si>
  <si>
    <t>木造枠組</t>
  </si>
  <si>
    <t>08030</t>
  </si>
  <si>
    <t>共同住宅</t>
  </si>
  <si>
    <t>06330</t>
  </si>
  <si>
    <t>広告塔、広告板、装飾塔、記念塔その他これらに類するもの</t>
  </si>
  <si>
    <t>06430</t>
  </si>
  <si>
    <t>サイロその他これに類する工作物のうち飼料、肥料、セメントその他これらに類するものを貯蔵するもの</t>
  </si>
  <si>
    <t>準耐火建築物（イ-2）</t>
  </si>
  <si>
    <t>くみ取り(改良）</t>
  </si>
  <si>
    <t>03</t>
  </si>
  <si>
    <t>神奈川県知事</t>
  </si>
  <si>
    <t>08040</t>
  </si>
  <si>
    <t>寄宿舎</t>
  </si>
  <si>
    <t>06340</t>
  </si>
  <si>
    <t>高架水槽、サイロ、物見塔その他これらに類するもの</t>
  </si>
  <si>
    <t>06440</t>
  </si>
  <si>
    <t>昇降機、ウォーターショート、飛行塔その他これに類するもの</t>
  </si>
  <si>
    <t>準耐火建築物（ロ-1）</t>
  </si>
  <si>
    <t>04</t>
  </si>
  <si>
    <t>茨城県知事</t>
  </si>
  <si>
    <t>鉄筋コンクリート造</t>
  </si>
  <si>
    <t>08050</t>
  </si>
  <si>
    <t>下宿</t>
  </si>
  <si>
    <t>06350</t>
  </si>
  <si>
    <t>擁壁</t>
  </si>
  <si>
    <t>06450</t>
  </si>
  <si>
    <t>汚物処理場、ごみ焼却場その他の処理施設の用途に供するもの</t>
  </si>
  <si>
    <t>準耐火建築物（ロ-2）</t>
  </si>
  <si>
    <t>05</t>
  </si>
  <si>
    <t>栃木県知事</t>
  </si>
  <si>
    <t>鉄骨鉄筋コンクリート造</t>
  </si>
  <si>
    <t>08060</t>
  </si>
  <si>
    <t>住宅で事務所、店舗その他これらに類する用途を兼ねるもの</t>
  </si>
  <si>
    <t xml:space="preserve">06360  </t>
  </si>
  <si>
    <t>ウォーターシュート、コースターその他これに類する高架の遊戯施設</t>
  </si>
  <si>
    <t>06460</t>
  </si>
  <si>
    <t>群馬県知事</t>
  </si>
  <si>
    <t>08070</t>
  </si>
  <si>
    <t>幼稚園</t>
  </si>
  <si>
    <t xml:space="preserve">06370 </t>
  </si>
  <si>
    <t>メリーゴーランド、観覧車、オクトパス、飛行塔その他これらに類する回転運動をする遊戯施設で原動機を使用するもの</t>
  </si>
  <si>
    <t>北海道知事</t>
  </si>
  <si>
    <t>08080</t>
  </si>
  <si>
    <t>小学校</t>
  </si>
  <si>
    <t>青森県知事</t>
  </si>
  <si>
    <t>08090</t>
  </si>
  <si>
    <t>中学校又は高等学校</t>
  </si>
  <si>
    <t>岩手県知事</t>
  </si>
  <si>
    <t>08100</t>
  </si>
  <si>
    <t>養護学校、盲学校又は聾学校</t>
  </si>
  <si>
    <t>宮城県知事</t>
  </si>
  <si>
    <t>08110</t>
  </si>
  <si>
    <t>大学又は高等専門学校</t>
  </si>
  <si>
    <t>秋田県知事</t>
  </si>
  <si>
    <t>08120</t>
  </si>
  <si>
    <t>専修学校</t>
  </si>
  <si>
    <t>山形県知事</t>
  </si>
  <si>
    <t>08130</t>
  </si>
  <si>
    <t>各種学校</t>
  </si>
  <si>
    <t>福島県知事</t>
  </si>
  <si>
    <t>08140</t>
  </si>
  <si>
    <t>図書館その他これらに類するもの</t>
  </si>
  <si>
    <t>新潟県知事</t>
  </si>
  <si>
    <t>08150</t>
  </si>
  <si>
    <t>博物館その他これらに類するもの</t>
  </si>
  <si>
    <t>富山県知事</t>
  </si>
  <si>
    <t>08160</t>
  </si>
  <si>
    <t>神社、寺院、教会その他これらに類するもの</t>
  </si>
  <si>
    <t>石川県知事</t>
  </si>
  <si>
    <t>08170</t>
  </si>
  <si>
    <t>老人ホーム、身体障害者福祉ホームその他これに類するもの</t>
  </si>
  <si>
    <t>福井県知事</t>
  </si>
  <si>
    <t>08180</t>
  </si>
  <si>
    <t>保育所その他これに類するもの</t>
  </si>
  <si>
    <t>山梨県知事</t>
  </si>
  <si>
    <t>08190</t>
  </si>
  <si>
    <t>助産所</t>
  </si>
  <si>
    <t>長野県知事</t>
  </si>
  <si>
    <t>08210</t>
  </si>
  <si>
    <t>児童福祉施設等（前３項に掲げるものを除く。）</t>
  </si>
  <si>
    <t>岐阜県知事</t>
  </si>
  <si>
    <t>08220</t>
  </si>
  <si>
    <t>隣保館</t>
  </si>
  <si>
    <t>静岡県知事</t>
  </si>
  <si>
    <t>08230</t>
  </si>
  <si>
    <t>公衆浴場（個室付浴場業に係る公衆浴場を除く。）</t>
  </si>
  <si>
    <t>愛知県知事</t>
  </si>
  <si>
    <t>08240</t>
  </si>
  <si>
    <t>診療所（患者の収容施設のあるものに限る。）</t>
  </si>
  <si>
    <t>三重県知事</t>
  </si>
  <si>
    <t>08250</t>
  </si>
  <si>
    <t>診療所（患者の収容施設のないものに限る。）</t>
  </si>
  <si>
    <t>滋賀県知事</t>
  </si>
  <si>
    <t>08260</t>
  </si>
  <si>
    <t>病院</t>
  </si>
  <si>
    <t>京都府知事</t>
  </si>
  <si>
    <t>08270</t>
  </si>
  <si>
    <t>巡査派出所</t>
  </si>
  <si>
    <t>大阪府知事</t>
  </si>
  <si>
    <t>08280</t>
  </si>
  <si>
    <t>公衆電話所</t>
  </si>
  <si>
    <t>兵庫県知事</t>
  </si>
  <si>
    <t>08290</t>
  </si>
  <si>
    <t>郵便局</t>
  </si>
  <si>
    <t>奈良県知事</t>
  </si>
  <si>
    <t>08300</t>
  </si>
  <si>
    <t>地方公共団体の支庁又は支所</t>
  </si>
  <si>
    <t>和歌山県知事</t>
  </si>
  <si>
    <t>08310</t>
  </si>
  <si>
    <t>公衆便所、休憩所又は路線バスの停留所の上屋</t>
  </si>
  <si>
    <t>鳥取県知事</t>
  </si>
  <si>
    <t>08320</t>
  </si>
  <si>
    <t>建築基準法施行令第130条の4第5号に基づき国土交通大臣が指定する施設</t>
  </si>
  <si>
    <t>島根県知事</t>
  </si>
  <si>
    <t>08330</t>
  </si>
  <si>
    <t>税務署、警察署、保健所又は消防署その他これらに類するもの</t>
  </si>
  <si>
    <t>岡山県知事</t>
  </si>
  <si>
    <t>08340</t>
  </si>
  <si>
    <t>工場（自動車修理工場を除く。）</t>
  </si>
  <si>
    <t>広島県知事</t>
  </si>
  <si>
    <t>08350</t>
  </si>
  <si>
    <t>自動車修理工場</t>
  </si>
  <si>
    <t>山口県知事</t>
  </si>
  <si>
    <t>08360</t>
  </si>
  <si>
    <t>危険物の貯蔵又は処理に供するもの</t>
  </si>
  <si>
    <t>徳島県知事</t>
  </si>
  <si>
    <t>08370</t>
  </si>
  <si>
    <t>ボーリング場、スケート場、水泳場、スキー場、ゴルフ練習場又はバッティング練習場</t>
  </si>
  <si>
    <t>香川県知事</t>
  </si>
  <si>
    <t>08380</t>
  </si>
  <si>
    <t>体育館又はスポーツの練習場（前項に掲げるものを除く。）</t>
  </si>
  <si>
    <t>愛媛県知事</t>
  </si>
  <si>
    <t>08390</t>
  </si>
  <si>
    <t>マージャン屋、ぱちんこ屋、射的場、勝馬投票券発売所、場外車券売り場その他これらに類するもの又はカラオケボックスその他これらに類するもの</t>
  </si>
  <si>
    <t>高知県知事</t>
  </si>
  <si>
    <t>08400</t>
  </si>
  <si>
    <t>ホテル又は旅館</t>
  </si>
  <si>
    <t>福岡県知事</t>
  </si>
  <si>
    <t>08410</t>
  </si>
  <si>
    <t>自動車教習所</t>
  </si>
  <si>
    <t>佐賀県知事</t>
  </si>
  <si>
    <t>08420</t>
  </si>
  <si>
    <t>畜舎</t>
  </si>
  <si>
    <t>長崎県知事</t>
  </si>
  <si>
    <t>08430</t>
  </si>
  <si>
    <t>堆肥舎又は水産物の増殖場若しくは養殖場</t>
  </si>
  <si>
    <t>熊本県知事</t>
  </si>
  <si>
    <t>08438</t>
  </si>
  <si>
    <t>日用品の販売を主たる目的とする店舗</t>
  </si>
  <si>
    <t>大分県知事</t>
  </si>
  <si>
    <t>08440</t>
  </si>
  <si>
    <t>百貨店、マーケットその他の物品販売業を営む店舗（前項に掲げるもの及び専ら性的好奇心をおそる写真その他の物品の販売を行うものを除く。）</t>
  </si>
  <si>
    <t>宮崎県知事</t>
  </si>
  <si>
    <t>08450</t>
  </si>
  <si>
    <t>飲食店（次項に掲げるものを除く。）</t>
  </si>
  <si>
    <t>鹿児島県知事</t>
  </si>
  <si>
    <t>08452</t>
  </si>
  <si>
    <t>食堂又は喫茶店</t>
  </si>
  <si>
    <t>沖縄県知事</t>
  </si>
  <si>
    <t>08456</t>
  </si>
  <si>
    <t>理髪店、美容院、クリーニング取次店、質屋、貸衣装屋、貸本屋その他これらに類するサービス業を営む店舗、洋服店、畳屋、建具屋、自転車店、家庭電気器具店その他これらに類するサービス業を営む店舗で作業場の床面積の合計が50平方メートル以内のもの（原動機を使用する場合にあっては、その出力の合計が0.75キロワット以下のものに限る。）、自家販売のために食品製造業を営むパン屋、米屋、豆腐屋、菓子屋その他これらに類するもので作業場の床面積の合計が50平方メートル以内のもの（原動機を使用する場合にあっては、その出力の合計が0.75キロワット以下のものに限る。）又は学習塾、華道教室、囲碁教室その他これらに類する施設</t>
  </si>
  <si>
    <t>08458</t>
  </si>
  <si>
    <t>銀行の支店、損害保険代理店、宅地建物取引業を営む店舗その他これらに類するサービス業を営む店舗</t>
  </si>
  <si>
    <t>08460</t>
  </si>
  <si>
    <t xml:space="preserve">物品販売業を営む店舗以外の店舗（前2項に掲げるものを除く。） </t>
  </si>
  <si>
    <t>08470</t>
  </si>
  <si>
    <t>事務所</t>
  </si>
  <si>
    <t>08480</t>
  </si>
  <si>
    <t>映画スタジオ又はテレビスタジオ</t>
  </si>
  <si>
    <t>08490</t>
  </si>
  <si>
    <t>自動車車庫</t>
  </si>
  <si>
    <t>08500</t>
  </si>
  <si>
    <t>自転車駐輪場</t>
  </si>
  <si>
    <t>08510</t>
  </si>
  <si>
    <t>倉庫業を営む倉庫</t>
  </si>
  <si>
    <t>08520</t>
  </si>
  <si>
    <t>倉庫業を営まない倉庫</t>
  </si>
  <si>
    <t>08530</t>
  </si>
  <si>
    <t>劇場、映画館又は演芸場</t>
  </si>
  <si>
    <t>08540</t>
  </si>
  <si>
    <t>観覧場</t>
  </si>
  <si>
    <t>08550</t>
  </si>
  <si>
    <t>公会堂又は集会場</t>
  </si>
  <si>
    <t>08560</t>
  </si>
  <si>
    <t>展示場</t>
  </si>
  <si>
    <t>08570</t>
  </si>
  <si>
    <t>料理店</t>
  </si>
  <si>
    <t>08580</t>
  </si>
  <si>
    <t>キャバレー、カフェー、ナイトクラブ又はバー</t>
  </si>
  <si>
    <t>08590</t>
  </si>
  <si>
    <t>ダンスホール</t>
  </si>
  <si>
    <t>08600</t>
  </si>
  <si>
    <t>個室付浴場業に係る公衆浴場、ヌードスタジオ、のぞき劇場、ストリップ劇場、専ら異性を同伴する客の休憩の用に供する施設、専ら性的好奇心をそそる写真その他の物品の販売を目的とする店舗その他これらに類するもの</t>
  </si>
  <si>
    <t>08610</t>
  </si>
  <si>
    <t>卸売市場</t>
  </si>
  <si>
    <t>08620</t>
  </si>
  <si>
    <t>火葬場又はと畜場、汚物処理場、ごみ焼却場その他の処理施設</t>
  </si>
  <si>
    <t>08990</t>
  </si>
  <si>
    <t xml:space="preserve">その他 </t>
  </si>
  <si>
    <t>都市計画区域内</t>
  </si>
  <si>
    <t>準都市計画区域内</t>
  </si>
  <si>
    <t>都市計画区域及び準都市計画区域内準都市計画区域外</t>
  </si>
  <si>
    <t>区域内の分類</t>
  </si>
  <si>
    <t>市街化区域</t>
  </si>
  <si>
    <t>市街化調整区域</t>
  </si>
  <si>
    <t>区域区分非設定</t>
  </si>
  <si>
    <t>防火地域</t>
  </si>
  <si>
    <t>準防火地域</t>
  </si>
  <si>
    <t>法第22条区域</t>
  </si>
  <si>
    <t>新築</t>
  </si>
  <si>
    <t>増築</t>
  </si>
  <si>
    <t>改築</t>
  </si>
  <si>
    <t>移転</t>
  </si>
  <si>
    <t>説明</t>
  </si>
  <si>
    <t>年</t>
  </si>
  <si>
    <t>日</t>
  </si>
  <si>
    <t>**wskakunin_owner1_JIMU_NAME</t>
  </si>
  <si>
    <t>cst_wskakunin_owner1_JIMU_NAME</t>
  </si>
  <si>
    <t>**wskakunin_owner1_JIMU_NAME_KANA</t>
  </si>
  <si>
    <t>cst_wskakunin_owner1_JIMU_NAME_KANA</t>
  </si>
  <si>
    <t>**wskakunin_owner1_POST</t>
  </si>
  <si>
    <t>**wskakunin_owner1_POST_KANA</t>
  </si>
  <si>
    <t>cst_wskakunin_owner1_POST_KANA</t>
  </si>
  <si>
    <t>cst_wskakunin_owner1__space_KANA</t>
  </si>
  <si>
    <t>**wsjob_JOB_KIND</t>
  </si>
  <si>
    <t>cst_wsjob_JOB_KIND</t>
  </si>
  <si>
    <t>**wsjob_TARGET_KIND</t>
  </si>
  <si>
    <t>cst_wsjob_TARGET_KIND</t>
  </si>
  <si>
    <t>cst_wskakunin_SHINSEI_DATE</t>
  </si>
  <si>
    <t>**shinsei_ISSUE_DATE</t>
  </si>
  <si>
    <t>申請日</t>
  </si>
  <si>
    <t>シート名
※重複不可</t>
  </si>
  <si>
    <t>※最後にNoObjectを記述</t>
  </si>
  <si>
    <t>備考</t>
  </si>
  <si>
    <t>showsheetflag_****
  1=表示
  0=削除
 -1=非表示
 -2=シート非表示（再表示不可）</t>
  </si>
  <si>
    <t>dSHEET</t>
  </si>
  <si>
    <t>DATA</t>
  </si>
  <si>
    <t>項目リスト</t>
  </si>
  <si>
    <t>NoObject</t>
  </si>
  <si>
    <t>※このシートをアクティブにして保存すること</t>
  </si>
  <si>
    <t>申請者名</t>
  </si>
  <si>
    <t>申請者</t>
  </si>
  <si>
    <t>cst_wskakunin_APPLICANT_NAME</t>
  </si>
  <si>
    <t>直前の確認申請情報</t>
  </si>
  <si>
    <t>計画変更の概要</t>
  </si>
  <si>
    <t>**wskakunin_LAST_ISSUE_NO</t>
  </si>
  <si>
    <t>cst_wskakunin_LAST_ISSUE_NO</t>
  </si>
  <si>
    <t>**wskakunin_LAST_ISSUE_DATE</t>
  </si>
  <si>
    <t>cst_wskakunin_LAST_ISSUE_DATE</t>
  </si>
  <si>
    <t>**wskakunin_LAST_ISSUE_NAME</t>
  </si>
  <si>
    <t>cst_wskakunin_LAST_ISSUE_NAME</t>
  </si>
  <si>
    <t>**wskakunin_P1_HENKOU_GAIYOU</t>
  </si>
  <si>
    <t>cst_wskakunin_P1_HENKOU_GAIYOU</t>
  </si>
  <si>
    <t>ルート１</t>
  </si>
  <si>
    <t>川崎市条例第6条第2項ただし書き許可：</t>
  </si>
  <si>
    <t>災害危険区域：</t>
  </si>
  <si>
    <t>都市計画法第53条許可：</t>
  </si>
  <si>
    <t>都市計画法第43条許可：</t>
  </si>
  <si>
    <t>風致地区：</t>
  </si>
  <si>
    <t>地区計画：</t>
  </si>
  <si>
    <t>法第53条の2第1項第3号の許可</t>
  </si>
  <si>
    <t>公告：</t>
  </si>
  <si>
    <t>（平成</t>
  </si>
  <si>
    <t>宅造検査済：　</t>
  </si>
  <si>
    <t>変更許可：</t>
  </si>
  <si>
    <t>開発完了公告：</t>
  </si>
  <si>
    <t>開発検査済：　</t>
  </si>
  <si>
    <t>開発変更許可：</t>
  </si>
  <si>
    <t>トップ</t>
  </si>
  <si>
    <t>確</t>
  </si>
  <si>
    <t>工</t>
  </si>
  <si>
    <t>昇</t>
  </si>
  <si>
    <t>建</t>
  </si>
  <si>
    <t>狭あい道路協議済：</t>
  </si>
  <si>
    <t>鉄骨部の部分において初めて工事を施工する階の建方工事</t>
  </si>
  <si>
    <t>法第43条ただし書き許可：</t>
  </si>
  <si>
    <t>工業専用</t>
  </si>
  <si>
    <t>基礎の配筋工事</t>
  </si>
  <si>
    <t>急傾斜地崩壊危険区域の許可：</t>
  </si>
  <si>
    <t>工業</t>
  </si>
  <si>
    <t>屋根版の配筋工事</t>
  </si>
  <si>
    <t>準工業</t>
  </si>
  <si>
    <t>屋根の小屋組工事及び構造耐力上主要な耐力壁の工事</t>
  </si>
  <si>
    <t>位置指定道路：</t>
  </si>
  <si>
    <t>商業</t>
  </si>
  <si>
    <t>屋根の小屋組工事及び構造耐力上主要な軸組の工事</t>
  </si>
  <si>
    <t>近隣商業</t>
  </si>
  <si>
    <t>２階の床及びこれを支持するはりに鉄筋を配置する工事の工程</t>
  </si>
  <si>
    <t>準住居</t>
  </si>
  <si>
    <t>１階を含む鉄骨建方工事</t>
  </si>
  <si>
    <t>宅地造成に関する工事許可：</t>
  </si>
  <si>
    <t>第2種住居</t>
  </si>
  <si>
    <t>構造計算書一式</t>
  </si>
  <si>
    <t>屋根工事</t>
  </si>
  <si>
    <t>第1種住居</t>
  </si>
  <si>
    <t>構造設計図書一式</t>
  </si>
  <si>
    <t>小屋組完了時</t>
  </si>
  <si>
    <t>第2種中高層住居専用</t>
  </si>
  <si>
    <t>道路側を除く敷地境界 1ｍ）</t>
  </si>
  <si>
    <t>設計図書一式（構造計算書を除く）</t>
  </si>
  <si>
    <t>２級</t>
  </si>
  <si>
    <t>（昭和</t>
  </si>
  <si>
    <t>全軸組緊結完了時</t>
  </si>
  <si>
    <t>第1種中高層住居専用</t>
  </si>
  <si>
    <t>敷地境界1ｍ）</t>
  </si>
  <si>
    <t>特-</t>
  </si>
  <si>
    <t>設計図書一式（構造設計図書を除く）</t>
  </si>
  <si>
    <t>東京都</t>
  </si>
  <si>
    <t>１級</t>
  </si>
  <si>
    <t>変</t>
  </si>
  <si>
    <t>●</t>
  </si>
  <si>
    <t>基礎配筋完了時</t>
  </si>
  <si>
    <t>開発許可：</t>
  </si>
  <si>
    <t>第2種低層住居専用</t>
  </si>
  <si>
    <t>道路境界1ｍ）</t>
  </si>
  <si>
    <t>■</t>
  </si>
  <si>
    <t>般-</t>
  </si>
  <si>
    <t>設計図書一式</t>
  </si>
  <si>
    <t>神奈川県</t>
  </si>
  <si>
    <t>第1種低層住居専用</t>
  </si>
  <si>
    <t xml:space="preserve">    )</t>
  </si>
  <si>
    <t>個室付浴場に係る公衆浴場、ヌードスタジオ、のぞき劇場、ストリップ劇場、専ら異性を同伴する客の休憩の用に供する施設、専ら性的好奇心をそそる写真その他の物品の販売を目的とする店舗その他これらに類するもの</t>
  </si>
  <si>
    <t>自転車駐車場</t>
  </si>
  <si>
    <t>物品販売業を営む店舗以外の店舗</t>
  </si>
  <si>
    <t>銀行の支店、損害保険代理店、宅地建物取引業を営む店舗そのたこれらに類するサービス業を営む店舗</t>
  </si>
  <si>
    <t>理髪店、美容院、クリーニング取次店、質屋、貸衣装屋、貸本屋その他これらに類するサービス業を営む店舗、洋服店、畳屋、建具屋、自転車店等</t>
  </si>
  <si>
    <t>飲食店</t>
  </si>
  <si>
    <t>百貨店、マーケットその他の物品販売業を営む店舗</t>
  </si>
  <si>
    <t>マージャン屋、ぱちんこ屋、射的場、勝馬投票券発売所、場外車券売場その他これらに類するもの又はカラオケボックスその他これらに類するもの</t>
  </si>
  <si>
    <t>体育館又はスポーツの練習場</t>
  </si>
  <si>
    <t>建築基準法施行令第130条の4第5号に基づき建設大臣が指定する施設</t>
  </si>
  <si>
    <t>公衆便所、休憩所又は路線バスの停留所の上家</t>
  </si>
  <si>
    <t>郵便法の規定により行う郵便の業務の用に供する施設</t>
  </si>
  <si>
    <t>児童福祉施設等</t>
  </si>
  <si>
    <t>老人ホーム、身体障害者福祉ホームその他これらに類するもの</t>
  </si>
  <si>
    <t>博物館その他これに類するもの</t>
  </si>
  <si>
    <t>図書館その他これに類するもの</t>
  </si>
  <si>
    <t>中学校、高等学校又は中等教育学校</t>
  </si>
  <si>
    <t>リスト</t>
  </si>
  <si>
    <t>用途の区分</t>
  </si>
  <si>
    <t>**wskakunin_dairi1__sikaku</t>
  </si>
  <si>
    <t>2.住居表示</t>
  </si>
  <si>
    <t>4.防火地域</t>
  </si>
  <si>
    <t>5.その他の区域</t>
  </si>
  <si>
    <t>6.道路</t>
  </si>
  <si>
    <t>幅員</t>
  </si>
  <si>
    <t>敷地と接している部分の長さ</t>
  </si>
  <si>
    <t>7.敷地面積</t>
  </si>
  <si>
    <t>建蔽率</t>
  </si>
  <si>
    <t>8.主要用途</t>
  </si>
  <si>
    <t>9.工事種別</t>
  </si>
  <si>
    <t>用途変更</t>
  </si>
  <si>
    <t>10.建築面積</t>
  </si>
  <si>
    <t>申請以外の部分</t>
  </si>
  <si>
    <t>合計</t>
  </si>
  <si>
    <t>11.延べ面積</t>
  </si>
  <si>
    <t>12.建築物の数</t>
  </si>
  <si>
    <t>13.建築物の高さ等</t>
  </si>
  <si>
    <t>他の建築物</t>
  </si>
  <si>
    <t>一部</t>
  </si>
  <si>
    <t>特例の適用の有無</t>
  </si>
  <si>
    <t>14.許可認定等</t>
  </si>
  <si>
    <t>19.備考</t>
  </si>
  <si>
    <t>□、■表示</t>
  </si>
  <si>
    <t>有無表示</t>
  </si>
  <si>
    <t>7.構造計算適合性判定</t>
  </si>
  <si>
    <t>適判名称</t>
  </si>
  <si>
    <t>適判所在地　都道府県</t>
  </si>
  <si>
    <t>適判所在地　市区町村</t>
  </si>
  <si>
    <t>提出状況チェック</t>
  </si>
  <si>
    <t>登録機関</t>
  </si>
  <si>
    <t>建築士登録番号</t>
  </si>
  <si>
    <t>**wskakunin_dairi1_SIKAKU__label</t>
  </si>
  <si>
    <t>**wskakunin_dairi1_KENTIKUSI_NO</t>
  </si>
  <si>
    <t>資格一括</t>
  </si>
  <si>
    <t>資格</t>
  </si>
  <si>
    <t>事務所 資格一括</t>
  </si>
  <si>
    <t>事務所　登録機関</t>
  </si>
  <si>
    <t>事務所　許可番号</t>
  </si>
  <si>
    <t>**wskakunin_dairi1_JIMU__sikaku</t>
  </si>
  <si>
    <t>**wskakunin_dairi1_JIMU_SIKAKU__label</t>
  </si>
  <si>
    <t>**wskakunin_dairi1_JIMU_NO</t>
  </si>
  <si>
    <t>cst_wskakunin_koutei02_KOUTEI_KAISUU</t>
  </si>
  <si>
    <t>cst_wskakunin_koutei02_KOUTEI_DATE</t>
  </si>
  <si>
    <t>cst_wskakunin_koutei02_KOUTEI_TEXT</t>
  </si>
  <si>
    <t>第一面</t>
  </si>
  <si>
    <t>第二面</t>
  </si>
  <si>
    <t>【ﾊ.郵便番号】</t>
  </si>
  <si>
    <t>【4.建築設備の設計に関し意見を聴いた者】</t>
  </si>
  <si>
    <t>【ﾎ.電話番号】</t>
  </si>
  <si>
    <t>【ﾍ.登録番号】</t>
  </si>
  <si>
    <t>【ﾄ.意見を聴いた設計図書】</t>
  </si>
  <si>
    <t>（その他の工事監理者）</t>
  </si>
  <si>
    <t>【ｲ.特定工程】</t>
  </si>
  <si>
    <t>事務所名＋氏名</t>
  </si>
  <si>
    <t>cst_wskakunin_sekkei1_jimuname_name</t>
  </si>
  <si>
    <t>cst_wskakunin_dairi1_KENTIKUSI_NO</t>
  </si>
  <si>
    <t>cst_wskakunin_dairi1_SIKAKU</t>
  </si>
  <si>
    <t>cst_wskakunin_dairi1_TOUROKU_KIKAN</t>
  </si>
  <si>
    <t>cst_wskakunin_dairi1_JIMU_TOUROKU_KIKAN</t>
  </si>
  <si>
    <t>cst_wskakunin_dairi1_JIMU_NO</t>
  </si>
  <si>
    <t>**wskakunin_sekkei1_JIMU__sikaku</t>
  </si>
  <si>
    <t>**wskakunin_sekkei1_JIMU_SIKAKU__label</t>
  </si>
  <si>
    <t>**wskakunin_sekkei1_JIMU_NO</t>
  </si>
  <si>
    <t>cst_wskakunin_sekkei1_JIMU_TOUROKU_KIKAN</t>
  </si>
  <si>
    <t>cst_wskakunin_sekkei1_JIMU_NO</t>
  </si>
  <si>
    <t>**wskakunin_sekkei1_SIKAKU__label</t>
  </si>
  <si>
    <t>**wskakunin_sekkei1_KENTIKUSI_NO</t>
  </si>
  <si>
    <t>cst_wskakunin_sekkei1__sikaku</t>
  </si>
  <si>
    <t>cst_wskakunin_sekkei1_SIKAKU</t>
  </si>
  <si>
    <t>cst_wskakunin_sekkei1_TOUROKU_KIKAN</t>
  </si>
  <si>
    <t>cst_wskakunin_sekkei1_KENTIKUSI_NO</t>
  </si>
  <si>
    <t>DOC</t>
  </si>
  <si>
    <t>設計図書</t>
  </si>
  <si>
    <t>設計者1</t>
  </si>
  <si>
    <t>設計者2</t>
  </si>
  <si>
    <t>設計者3</t>
  </si>
  <si>
    <t>設計者4</t>
  </si>
  <si>
    <t>【ﾛ.資格】構造設計一級建築士交付番号</t>
  </si>
  <si>
    <t>（代表となる建築設備の設計に関し意見を聴いた者）</t>
  </si>
  <si>
    <t>【ｲ.氏名】</t>
  </si>
  <si>
    <t>【ﾛ.勤務先】</t>
  </si>
  <si>
    <t>【ﾆ.所在地】</t>
  </si>
  <si>
    <t>（その他の建築設備の設計に関し意見を聴いた者１）</t>
  </si>
  <si>
    <t>（その他の建築設備の設計に関し意見を聴いた者２）</t>
  </si>
  <si>
    <t>（その他の建築設備の設計に関し意見を聴いた者３）</t>
  </si>
  <si>
    <t>建設業の許可</t>
  </si>
  <si>
    <t>登録番号</t>
  </si>
  <si>
    <t>－未申請チェック</t>
  </si>
  <si>
    <t>－申請不要チェック</t>
  </si>
  <si>
    <t>－提出済チェック</t>
  </si>
  <si>
    <t>－未提出チェック</t>
  </si>
  <si>
    <t>－提出不要チェック</t>
  </si>
  <si>
    <t>監理者1</t>
  </si>
  <si>
    <t>監理者2</t>
  </si>
  <si>
    <t>監理者3</t>
  </si>
  <si>
    <t>監理者4</t>
  </si>
  <si>
    <t>cst_wskakunin_tekihan01_TEKIHAN_STATE_mishinsei</t>
  </si>
  <si>
    <t>cst_wskakunin_tekihan01_TEKIHAN_STATE_shinseifuyou</t>
  </si>
  <si>
    <t>名称＋都道府県＋市区町村</t>
  </si>
  <si>
    <t>工事期間-年</t>
  </si>
  <si>
    <t>工事期間-月</t>
  </si>
  <si>
    <t>提出不要-理由</t>
  </si>
  <si>
    <t>**wskakunin_APPLICANT_NAME</t>
  </si>
  <si>
    <t>**wskakunin_PAGE1_ALTERATION_NOTE</t>
  </si>
  <si>
    <t>cst_wskakunin_PAGE1_ALTERATION_NOTE</t>
  </si>
  <si>
    <t>FAX番号</t>
  </si>
  <si>
    <t>**wskakunin_dairi1_FAX</t>
  </si>
  <si>
    <t>cst_wskakunin_dairi1_FAX</t>
  </si>
  <si>
    <t>※ 特定施工業者の検索</t>
  </si>
  <si>
    <t>cst_wskakunin_ecotekihan01_FUYOU_CAUSE</t>
  </si>
  <si>
    <t>8.建築物エネルギー消費性能確保計画の提出</t>
  </si>
  <si>
    <t>提出済-機関情報</t>
  </si>
  <si>
    <t>未提出-機関情報</t>
  </si>
  <si>
    <t>敷地面積</t>
  </si>
  <si>
    <t>敷地面積の合計</t>
  </si>
  <si>
    <t>地名地番</t>
  </si>
  <si>
    <t>最高の高さ</t>
  </si>
  <si>
    <t>階数-地上</t>
  </si>
  <si>
    <t>階数-地下</t>
  </si>
  <si>
    <t>特例の区分</t>
  </si>
  <si>
    <t>特例の有無</t>
  </si>
  <si>
    <t>ボックス-有</t>
  </si>
  <si>
    <t>ボックス-無</t>
  </si>
  <si>
    <t>cst_wskakunin_TOKUREI_TAKASA_box_on</t>
  </si>
  <si>
    <t>回数</t>
  </si>
  <si>
    <t>終了予定日</t>
  </si>
  <si>
    <t>特定工程</t>
  </si>
  <si>
    <t>区別</t>
  </si>
  <si>
    <t>第１号</t>
  </si>
  <si>
    <t>第２号</t>
  </si>
  <si>
    <t>第３号</t>
  </si>
  <si>
    <t>第４号</t>
  </si>
  <si>
    <t>【ｲ.建築基準法施工令第10条各号に掲げる建築物の区分</t>
  </si>
  <si>
    <t>【2.工事種別】</t>
  </si>
  <si>
    <t>【ﾊ.建築基準法第68条の20第２項の検査の特例に係る認証番号</t>
  </si>
  <si>
    <t>【6.工事着手年月日】</t>
  </si>
  <si>
    <t>【8.特定工程】</t>
  </si>
  <si>
    <t>【ﾛ.特定工程工事終了年月日】</t>
  </si>
  <si>
    <t>【ﾊ.検査対象床面積】</t>
  </si>
  <si>
    <t>【9.今回申請以前の中間検査】</t>
  </si>
  <si>
    <t>【ﾛ.中間検査合格証交付者】</t>
  </si>
  <si>
    <t>【ﾊ.中間検査合格証番号】</t>
  </si>
  <si>
    <t>【ﾆ.交付年月日】</t>
  </si>
  <si>
    <t>【10.今回申請以降の中間検査】</t>
  </si>
  <si>
    <t>【ﾛ.特定工程工事終了予定年月日】</t>
  </si>
  <si>
    <t>【11.確認以降の軽微な変更の概要】</t>
  </si>
  <si>
    <t>【ｲ.変更された設計図書の種類】</t>
  </si>
  <si>
    <t>【ﾛ.変更の概要】</t>
  </si>
  <si>
    <t>**wskakunin_sekkei1__address</t>
  </si>
  <si>
    <t>cst_wskakunin_sekkei1__address</t>
  </si>
  <si>
    <t>**wskakunin_sekkei1_TEL</t>
  </si>
  <si>
    <t>cst_wskakunin_sekkei1_TEL</t>
  </si>
  <si>
    <t>**wskakunin_sekkei1_DOC</t>
  </si>
  <si>
    <t>cst_wskakunin_sekkei1_DOC</t>
  </si>
  <si>
    <t>**wskakunin_sekkei2__sikaku</t>
  </si>
  <si>
    <t>cst_wskakunin_sekkei2__sikaku</t>
  </si>
  <si>
    <t>**wskakunin_sekkei2_SIKAKU__label</t>
  </si>
  <si>
    <t>cst_wskakunin_sekkei2_SIKAKU</t>
  </si>
  <si>
    <t>cst_wskakunin_sekkei2_TOUROKU_KIKAN</t>
  </si>
  <si>
    <t>**wskakunin_sekkei2_KENTIKUSI_NO</t>
  </si>
  <si>
    <t>cst_wskakunin_sekkei2_KENTIKUSI_NO</t>
  </si>
  <si>
    <t>**wskakunin_sekkei2_NAME</t>
  </si>
  <si>
    <t>cst_wskakunin_sekkei2_NAME</t>
  </si>
  <si>
    <t>**wskakunin_sekkei2_JIMU__sikaku</t>
  </si>
  <si>
    <t>cst_wskakunin_sekkei2_JIMU__sikaku</t>
  </si>
  <si>
    <t>**wskakunin_sekkei2_JIMU_SIKAKU__label</t>
  </si>
  <si>
    <t>cst_wskakunin_sekkei2_JIMU_TOUROKU_KIKAN</t>
  </si>
  <si>
    <t>**wskakunin_sekkei2_JIMU_NO</t>
  </si>
  <si>
    <t>cst_wskakunin_sekkei2_JIMU_NO</t>
  </si>
  <si>
    <t>**wskakunin_sekkei2_JIMU_NAME</t>
  </si>
  <si>
    <t>cst_wskakunin_sekkei2_JIMU_NAME</t>
  </si>
  <si>
    <t>cst_wskakunin_sekkei2_jimuname_name</t>
  </si>
  <si>
    <t>**wskakunin_sekkei2_ZIP</t>
  </si>
  <si>
    <t>cst_wskakunin_sekkei2_ZIP</t>
  </si>
  <si>
    <t>**wskakunin_sekkei2__address</t>
  </si>
  <si>
    <t>cst_wskakunin_sekkei2__address</t>
  </si>
  <si>
    <t>**wskakunin_sekkei2_TEL</t>
  </si>
  <si>
    <t>cst_wskakunin_sekkei2_TEL</t>
  </si>
  <si>
    <t>**wskakunin_sekkei2_DOC</t>
  </si>
  <si>
    <t>cst_wskakunin_sekkei2_DOC</t>
  </si>
  <si>
    <t>**wskakunin_sekkei3__sikaku</t>
  </si>
  <si>
    <t>cst_wskakunin_sekkei3__sikaku</t>
  </si>
  <si>
    <t>**wskakunin_sekkei3_SIKAKU__label</t>
  </si>
  <si>
    <t>cst_wskakunin_sekkei3_SIKAKU</t>
  </si>
  <si>
    <t>cst_wskakunin_sekkei3_TOUROKU_KIKAN</t>
  </si>
  <si>
    <t>**wskakunin_sekkei3_KENTIKUSI_NO</t>
  </si>
  <si>
    <t>cst_wskakunin_sekkei3_KENTIKUSI_NO</t>
  </si>
  <si>
    <t>**wskakunin_sekkei3_NAME</t>
  </si>
  <si>
    <t>cst_wskakunin_sekkei3_NAME</t>
  </si>
  <si>
    <t>**wskakunin_sekkei3_JIMU__sikaku</t>
  </si>
  <si>
    <t>cst_wskakunin_sekkei3_JIMU__sikaku</t>
  </si>
  <si>
    <t>**wskakunin_sekkei3_JIMU_SIKAKU__label</t>
  </si>
  <si>
    <t>cst_wskakunin_sekkei3_JIMU_TOUROKU_KIKAN</t>
  </si>
  <si>
    <t>**wskakunin_sekkei3_JIMU_NO</t>
  </si>
  <si>
    <t>cst_wskakunin_sekkei3_JIMU_NO</t>
  </si>
  <si>
    <t>**wskakunin_sekkei3_JIMU_NAME</t>
  </si>
  <si>
    <t>cst_wskakunin_sekkei3_JIMU_NAME</t>
  </si>
  <si>
    <t>cst_wskakunin_sekkei3_jimuname_name</t>
  </si>
  <si>
    <t>**wskakunin_sekkei3_ZIP</t>
  </si>
  <si>
    <t>cst_wskakunin_sekkei3_ZIP</t>
  </si>
  <si>
    <t>**wskakunin_sekkei3__address</t>
  </si>
  <si>
    <t>cst_wskakunin_sekkei3__address</t>
  </si>
  <si>
    <t>**wskakunin_sekkei3_TEL</t>
  </si>
  <si>
    <t>cst_wskakunin_sekkei3_TEL</t>
  </si>
  <si>
    <t>**wskakunin_sekkei3_DOC</t>
  </si>
  <si>
    <t>cst_wskakunin_sekkei3_DOC</t>
  </si>
  <si>
    <t>**wskakunin_sekkei4__sikaku</t>
  </si>
  <si>
    <t>cst_wskakunin_sekkei4__sikaku</t>
  </si>
  <si>
    <t>**wskakunin_sekkei4_SIKAKU__label</t>
  </si>
  <si>
    <t>cst_wskakunin_sekkei4_SIKAKU</t>
  </si>
  <si>
    <t>cst_wskakunin_sekkei4_TOUROKU_KIKAN</t>
  </si>
  <si>
    <t>**wskakunin_sekkei4_KENTIKUSI_NO</t>
  </si>
  <si>
    <t>cst_wskakunin_sekkei4_KENTIKUSI_NO</t>
  </si>
  <si>
    <t>**wskakunin_sekkei4_NAME</t>
  </si>
  <si>
    <t>cst_wskakunin_sekkei4_NAME</t>
  </si>
  <si>
    <t>**wskakunin_sekkei4_JIMU__sikaku</t>
  </si>
  <si>
    <t>cst_wskakunin_sekkei4_JIMU__sikaku</t>
  </si>
  <si>
    <t>**wskakunin_sekkei4_JIMU_SIKAKU__label</t>
  </si>
  <si>
    <t>cst_wskakunin_sekkei4_JIMU_TOUROKU_KIKAN</t>
  </si>
  <si>
    <t>**wskakunin_sekkei4_JIMU_NO</t>
  </si>
  <si>
    <t>cst_wskakunin_sekkei4_JIMU_NO</t>
  </si>
  <si>
    <t>**wskakunin_sekkei4_JIMU_NAME</t>
  </si>
  <si>
    <t>cst_wskakunin_sekkei4_JIMU_NAME</t>
  </si>
  <si>
    <t>cst_wskakunin_sekkei4_jimuname_name</t>
  </si>
  <si>
    <t>**wskakunin_sekkei4_ZIP</t>
  </si>
  <si>
    <t>cst_wskakunin_sekkei4_ZIP</t>
  </si>
  <si>
    <t>**wskakunin_sekkei4__address</t>
  </si>
  <si>
    <t>cst_wskakunin_sekkei4__address</t>
  </si>
  <si>
    <t>**wskakunin_sekkei4_TEL</t>
  </si>
  <si>
    <t>cst_wskakunin_sekkei4_TEL</t>
  </si>
  <si>
    <t>**wskakunin_sekkei4_DOC</t>
  </si>
  <si>
    <t>cst_wskakunin_sekkei4_DOC</t>
  </si>
  <si>
    <t>（構造設計一級建築士又は設備設計一級建築士である旨の表示をした者）</t>
  </si>
  <si>
    <t>建築士法第20条の２第１項の表示をした者</t>
  </si>
  <si>
    <t>**wskakunin_20kouzou101_NAME</t>
  </si>
  <si>
    <t>cst_wskakunin_20kouzou101_NAME</t>
  </si>
  <si>
    <t>建築士法第20条の２第３項の表示をした者</t>
  </si>
  <si>
    <t>**wskakunin_20kouzou301_NAME</t>
  </si>
  <si>
    <t>cst_wskakunin_20kouzou301_NAME</t>
  </si>
  <si>
    <t>建築士法第20条の３第１項の表示をした者</t>
  </si>
  <si>
    <t>**wskakunin_20setubi101_NAME</t>
  </si>
  <si>
    <t>cst_wskakunin_20setubi101_NAME</t>
  </si>
  <si>
    <t>【ﾛ.資格】設備設計一級建築士交付番号</t>
  </si>
  <si>
    <t>**wskakunin_20setubi102_NAME</t>
  </si>
  <si>
    <t>cst_wskakunin_20setubi102_NAME</t>
  </si>
  <si>
    <t>**wskakunin_20setubi103_NAME</t>
  </si>
  <si>
    <t>cst_wskakunin_20setubi103_NAME</t>
  </si>
  <si>
    <t>建築士法第20条の３第３項の表示をした者</t>
  </si>
  <si>
    <t>**wskakunin_20setubi301_NAME</t>
  </si>
  <si>
    <t>cst_wskakunin_20setubi301_NAME</t>
  </si>
  <si>
    <t>**wskakunin_20setubi302_NAME</t>
  </si>
  <si>
    <t>cst_wskakunin_20setubi302_NAME</t>
  </si>
  <si>
    <t>**wskakunin_20setubi303_NAME</t>
  </si>
  <si>
    <t>cst_wskakunin_20setubi303_NAME</t>
  </si>
  <si>
    <t>（代表となる工事監理者）</t>
  </si>
  <si>
    <t>**wskakunin_kanri1__sikaku</t>
  </si>
  <si>
    <t>cst_wskakunin_kanri1__sikaku</t>
  </si>
  <si>
    <t>**wskakunin_kanri1_SIKAKU__label</t>
  </si>
  <si>
    <t>cst_wskakunin_kanri1_TOUROKU_KIKAN</t>
  </si>
  <si>
    <t>**wskakunin_kanri1_KENTIKUSI_NO</t>
  </si>
  <si>
    <t>cst_wskakunin_kanri1_KENTIKUSI_NO</t>
  </si>
  <si>
    <t>**wskakunin_kanri1_NAME</t>
  </si>
  <si>
    <t>cst_wskakunin_kanri1_NAME</t>
  </si>
  <si>
    <t>**wskakunin_kanri1_JIMU__sikaku</t>
  </si>
  <si>
    <t>cst_wskakunin_kanri1_JIMU__sikaku</t>
  </si>
  <si>
    <t>**wskakunin_kanri1_JIMU_SIKAKU__label</t>
  </si>
  <si>
    <t>cst_wskakunin_kanri1_JIMU_TOUROKU_KIKAN</t>
  </si>
  <si>
    <t>**wskakunin_kanri1_JIMU_NO</t>
  </si>
  <si>
    <t>cst_wskakunin_kanri1_JIMU_NO</t>
  </si>
  <si>
    <t>**wskakunin_kanri1_JIMU_NAME</t>
  </si>
  <si>
    <t>cst_wskakunin_kanri1_JIMU_NAME</t>
  </si>
  <si>
    <t>**wskakunin_kanri1_ZIP</t>
  </si>
  <si>
    <t>cst_wskakunin_kanri1_ZIP</t>
  </si>
  <si>
    <t>**wskakunin_kanri1__address</t>
  </si>
  <si>
    <t>cst_wskakunin_kanri1__address</t>
  </si>
  <si>
    <t>**wskakunin_kanri1_TEL</t>
  </si>
  <si>
    <t>cst_wskakunin_kanri1_TEL</t>
  </si>
  <si>
    <t>**wskakunin_kanri1_DOC</t>
  </si>
  <si>
    <t>cst_wskakunin_kanri1_DOC</t>
  </si>
  <si>
    <t>**wskakunin_kanri2__sikaku</t>
  </si>
  <si>
    <t>cst_wskakunin_kanri2__sikaku</t>
  </si>
  <si>
    <t>**wskakunin_kanri2_SIKAKU__label</t>
  </si>
  <si>
    <t>cst_wskakunin_kanri2_TOUROKU_KIKAN</t>
  </si>
  <si>
    <t>**wskakunin_kanri2_KENTIKUSI_NO</t>
  </si>
  <si>
    <t>cst_wskakunin_kanri2_KENTIKUSI_NO</t>
  </si>
  <si>
    <t>**wskakunin_kanri2_NAME</t>
  </si>
  <si>
    <t>cst_wskakunin_kanri2_NAME</t>
  </si>
  <si>
    <t>**wskakunin_kanri2_JIMU__sikaku</t>
  </si>
  <si>
    <t>cst_wskakunin_kanri2_JIMU__sikaku</t>
  </si>
  <si>
    <t>**wskakunin_kanri2_JIMU_SIKAKU__label</t>
  </si>
  <si>
    <t>cst_wskakunin_kanri2_JIMU_TOUROKU_KIKAN</t>
  </si>
  <si>
    <t>**wskakunin_kanri2_JIMU_NO</t>
  </si>
  <si>
    <t>cst_wskakunin_kanri2_JIMU_NO</t>
  </si>
  <si>
    <t>**wskakunin_kanri2_JIMU_NAME</t>
  </si>
  <si>
    <t>cst_wskakunin_kanri2_JIMU_NAME</t>
  </si>
  <si>
    <t>**wskakunin_kanri2_ZIP</t>
  </si>
  <si>
    <t>cst_wskakunin_kanri2_ZIP</t>
  </si>
  <si>
    <t>**wskakunin_kanri2__address</t>
  </si>
  <si>
    <t>cst_wskakunin_kanri2__address</t>
  </si>
  <si>
    <t>**wskakunin_kanri2_TEL</t>
  </si>
  <si>
    <t>cst_wskakunin_kanri2_TEL</t>
  </si>
  <si>
    <t>**wskakunin_kanri2_DOC</t>
  </si>
  <si>
    <t>cst_wskakunin_kanri2_DOC</t>
  </si>
  <si>
    <t>**wskakunin_kanri3__sikaku</t>
  </si>
  <si>
    <t>cst_wskakunin_kanri3__sikaku</t>
  </si>
  <si>
    <t>**wskakunin_kanri3_SIKAKU__label</t>
  </si>
  <si>
    <t>cst_wskakunin_kanri3_TOUROKU_KIKAN</t>
  </si>
  <si>
    <t>**wskakunin_kanri3_KENTIKUSI_NO</t>
  </si>
  <si>
    <t>cst_wskakunin_kanri3_KENTIKUSI_NO</t>
  </si>
  <si>
    <t>**wskakunin_kanri3_NAME</t>
  </si>
  <si>
    <t>cst_wskakunin_kanri3_NAME</t>
  </si>
  <si>
    <t>**wskakunin_kanri3_JIMU__sikaku</t>
  </si>
  <si>
    <t>cst_wskakunin_kanri3_JIMU__sikaku</t>
  </si>
  <si>
    <t>**wskakunin_kanri3_JIMU_SIKAKU__label</t>
  </si>
  <si>
    <t>cst_wskakunin_kanri3_JIMU_TOUROKU_KIKAN</t>
  </si>
  <si>
    <t>**wskakunin_kanri3_JIMU_NO</t>
  </si>
  <si>
    <t>cst_wskakunin_kanri3_JIMU_NO</t>
  </si>
  <si>
    <t>**wskakunin_kanri3_JIMU_NAME</t>
  </si>
  <si>
    <t>cst_wskakunin_kanri3_JIMU_NAME</t>
  </si>
  <si>
    <t>**wskakunin_kanri3_ZIP</t>
  </si>
  <si>
    <t>cst_wskakunin_kanri3_ZIP</t>
  </si>
  <si>
    <t>**wskakunin_kanri3__address</t>
  </si>
  <si>
    <t>cst_wskakunin_kanri3__address</t>
  </si>
  <si>
    <t>**wskakunin_kanri3_TEL</t>
  </si>
  <si>
    <t>cst_wskakunin_kanri3_TEL</t>
  </si>
  <si>
    <t>**wskakunin_kanri3_DOC</t>
  </si>
  <si>
    <t>cst_wskakunin_kanri3_DOC</t>
  </si>
  <si>
    <t>**wskakunin_kanri4__sikaku</t>
  </si>
  <si>
    <t>cst_wskakunin_kanri4__sikaku</t>
  </si>
  <si>
    <t>**wskakunin_kanri4_SIKAKU__label</t>
  </si>
  <si>
    <t>cst_wskakunin_kanri4_TOUROKU_KIKAN</t>
  </si>
  <si>
    <t>**wskakunin_kanri4_KENTIKUSI_NO</t>
  </si>
  <si>
    <t>cst_wskakunin_kanri4_KENTIKUSI_NO</t>
  </si>
  <si>
    <t>**wskakunin_kanri4_NAME</t>
  </si>
  <si>
    <t>cst_wskakunin_kanri4_NAME</t>
  </si>
  <si>
    <t>**wskakunin_kanri4_JIMU__sikaku</t>
  </si>
  <si>
    <t>cst_wskakunin_kanri4_JIMU__sikaku</t>
  </si>
  <si>
    <t>**wskakunin_kanri4_JIMU_SIKAKU__label</t>
  </si>
  <si>
    <t>cst_wskakunin_kanri4_JIMU_TOUROKU_KIKAN</t>
  </si>
  <si>
    <t>**wskakunin_kanri4_JIMU_NO</t>
  </si>
  <si>
    <t>cst_wskakunin_kanri4_JIMU_NO</t>
  </si>
  <si>
    <t>**wskakunin_kanri4_JIMU_NAME</t>
  </si>
  <si>
    <t>cst_wskakunin_kanri4_JIMU_NAME</t>
  </si>
  <si>
    <t>**wskakunin_kanri4_ZIP</t>
  </si>
  <si>
    <t>cst_wskakunin_kanri4_ZIP</t>
  </si>
  <si>
    <t>**wskakunin_kanri4__address</t>
  </si>
  <si>
    <t>cst_wskakunin_kanri4__address</t>
  </si>
  <si>
    <t>**wskakunin_kanri4_TEL</t>
  </si>
  <si>
    <t>cst_wskakunin_kanri4_TEL</t>
  </si>
  <si>
    <t>**wskakunin_kanri4_DOC</t>
  </si>
  <si>
    <t>cst_wskakunin_kanri4_DOC</t>
  </si>
  <si>
    <t>**wskakunin_sekou1_NAME</t>
  </si>
  <si>
    <t>cst_wskakunin_sekou1_NAME</t>
  </si>
  <si>
    <t>**wskakunin_sekou1_SEKOU__sikaku</t>
  </si>
  <si>
    <t>cst_wskakunin_sekou1_SEKOU__sikaku</t>
  </si>
  <si>
    <t>**wskakunin_sekou1_JIMU_NAME</t>
  </si>
  <si>
    <t>cst_wskakunin_sekou1_JIMU_NAME</t>
  </si>
  <si>
    <t>**wskakunin_sekou1_ZIP</t>
  </si>
  <si>
    <t>cst_wskakunin_sekou1_ZIP</t>
  </si>
  <si>
    <t>**wskakunin_sekou1__address</t>
  </si>
  <si>
    <t>cst_wskakunin_sekou1__address</t>
  </si>
  <si>
    <t>**wskakunin_sekou1_TEL</t>
  </si>
  <si>
    <t>cst_wskakunin_sekou1_TEL</t>
  </si>
  <si>
    <t>一建設（前方一致で判定）</t>
  </si>
  <si>
    <t>cst_wskakunin_sekou1__hajime</t>
  </si>
  <si>
    <t>※showsheetflagではSEARCH関数は使用不可</t>
  </si>
  <si>
    <t>ケイアイスター</t>
  </si>
  <si>
    <t>cst_wskakunin_sekou1__kistar</t>
  </si>
  <si>
    <t>**wskakunin_BUILD_NAME</t>
  </si>
  <si>
    <t>cst_wskakunin_BUILD_NAME</t>
  </si>
  <si>
    <t>チェック</t>
  </si>
  <si>
    <t>**wskakunin_tekihan01_TEKIHAN_STATE</t>
  </si>
  <si>
    <t>－申請済チェック</t>
  </si>
  <si>
    <t>cst_wskakunin_tekihan01_TEKIHAN_STATE_shinsei</t>
  </si>
  <si>
    <t>**wskakunin_tekihan01_TEKIHAN_KIKAN_NAME</t>
  </si>
  <si>
    <t>cst_wskakunin_tekihan01_TEKIHAN_KIKAN_NAME</t>
  </si>
  <si>
    <t>**wskakunin_tekihan01_TEKIHAN_KIKAN_KEN__ken</t>
  </si>
  <si>
    <t>cst_wskakunin_tekihan01_TEKIHAN_KIKAN_KEN__ken</t>
  </si>
  <si>
    <t>**wskakunin_tekihan01_TEKIHAN_KIKAN_ADDRESS</t>
  </si>
  <si>
    <t>cst_wskakunin_tekihan01_TEKIHAN_KIKAN_ADDRESS</t>
  </si>
  <si>
    <t>cst_wskakunin_tekihan01_TEKIHAN_KIKAN_info</t>
  </si>
  <si>
    <t>**wskakunin_tekihan02_TEKIHAN_KIKAN_NAME</t>
  </si>
  <si>
    <t>cst_wskakunin_tekihan02_TEKIHAN_KIKAN_NAME</t>
  </si>
  <si>
    <t>**wskakunin_tekihan02_TEKIHAN_KIKAN_KEN__ken</t>
  </si>
  <si>
    <t>cst_wskakunin_tekihan02_TEKIHAN_KIKAN_KEN__ken</t>
  </si>
  <si>
    <t>**wskakunin_tekihan02_TEKIHAN_KIKAN_ADDRESS</t>
  </si>
  <si>
    <t>cst_wskakunin_tekihan02_TEKIHAN_KIKAN_ADDRESS</t>
  </si>
  <si>
    <t>cst_wskakunin_tekihan02_TEKIHAN_KIKAN_info</t>
  </si>
  <si>
    <t>**wskakunin_ecotekihan01_TEKIHAN_STATE</t>
  </si>
  <si>
    <t>cst_wskakunin_ecotekihan01_TEKIHAN_STATE_teisyutu</t>
  </si>
  <si>
    <t>cst_wskakunin_ecotekihan01_TEKIHAN_STATE_miteisyutu</t>
  </si>
  <si>
    <t>cst_wskakunin_ecotekihan01_TEKIHAN_STATE_teisyutufuyou</t>
  </si>
  <si>
    <t>**wskakunin_ecotekihan01_TEKIHAN_KIKAN_NAME</t>
  </si>
  <si>
    <t>cst_wskakunin_ecotekihan01_TEKIHAN_KIKAN_NAME</t>
  </si>
  <si>
    <t>**wskakunin_ecotekihan01_TEKIHAN_KIKAN_KEN__ken</t>
  </si>
  <si>
    <t>cst_wskakunin_ecotekihan01_TEKIHAN_KIKAN_KEN__ken</t>
  </si>
  <si>
    <t>**wskakunin_ecotekihan01_TEKIHAN_KIKAN_ADDRESS</t>
  </si>
  <si>
    <t>cst_wskakunin_ecotekihan01_TEKIHAN_KIKAN_ADDRESS</t>
  </si>
  <si>
    <t>cst_wskakunin_ecotekihan01_teisyutu_kikan_info</t>
  </si>
  <si>
    <t>cst_wskakunin_ecotekihan01_miteisyutu_kikan_info</t>
  </si>
  <si>
    <t>**wskakunin_ecotekihan01_FUYOU_CAUSE</t>
  </si>
  <si>
    <t>**wskakunin_p4_1_youto1_YOUTO</t>
  </si>
  <si>
    <t>cst_wskakunin_p4_1_youto1_YOUTO</t>
  </si>
  <si>
    <t>区分</t>
  </si>
  <si>
    <t>**wskakunin_p4_1_youto1_YOUTO_CODE</t>
  </si>
  <si>
    <t>cst_wskakunin_p4_1_youto1_YOUTO_CODE</t>
  </si>
  <si>
    <t>cst_wskakunin_p4_1_youto1_YOUTO_1</t>
  </si>
  <si>
    <t>物品販売業を営む店舗等</t>
  </si>
  <si>
    <t>cst_wskakunin_p4_1_youto1_YOUTO_2</t>
  </si>
  <si>
    <t>cst_wskakunin_p4_1_youto1_YOUTO_3</t>
  </si>
  <si>
    <t>cst_wskakunin_p4_1_youto1_YOUTO_4</t>
  </si>
  <si>
    <t>cst_wskakunin_p4_1_youto1_YOUTO_5</t>
  </si>
  <si>
    <t>cst_wskakunin_p4_1_youto1_YOUTO_6</t>
  </si>
  <si>
    <t>cst_wskakunin_p4_1_youto1_YOUTO_9</t>
  </si>
  <si>
    <t>**wskakunin_p4_1__kouji</t>
  </si>
  <si>
    <t>cst_wskakunin_p4_1__kouji</t>
  </si>
  <si>
    <t>**wskakunin_p4_1_KAISU_TIKAI_NOZOKU</t>
  </si>
  <si>
    <t>cst_wskakunin_p4_1_KAISU_TIKAI_NOZOKU</t>
  </si>
  <si>
    <t>**wskakunin_p4_1_KAISU_TIKAI</t>
  </si>
  <si>
    <t>cst_wskakunin_p4_1_KAISU_TIKAI</t>
  </si>
  <si>
    <t>**wskakunin_p4_1_KOUZOU1</t>
  </si>
  <si>
    <t>cst_wskakunin_p4_1_KOUZOU1</t>
  </si>
  <si>
    <t>**wskakunin_p4_1_KOUZOU2</t>
  </si>
  <si>
    <t>cst_wskakunin_p4_1_KOUZOU2</t>
  </si>
  <si>
    <t>**wskakunin_p4_1_TAKASA_MAX</t>
  </si>
  <si>
    <t>cst_wskakunin_p4_1_TAKASA_MAX</t>
  </si>
  <si>
    <t>**wskakunin_p4_1_TAKASA_KEN_MAX</t>
  </si>
  <si>
    <t>cst_wskakunin_p4_1_TAKASA_KEN_MAX</t>
  </si>
  <si>
    <t>1.地名地番</t>
  </si>
  <si>
    <t>**wskakunin_BUILD__address</t>
  </si>
  <si>
    <t>cst_wskakunin_BUILD__address</t>
  </si>
  <si>
    <t>**wskakunin_BUILD_KEN__ken</t>
  </si>
  <si>
    <t>cst_wskakunin_BUILD_KEN__ken</t>
  </si>
  <si>
    <t>**wskakunin_BUILD_JYUKYO_ADDRESS</t>
  </si>
  <si>
    <t>cst_wskakunin_BUILD_JYUKYO_ADDRESS</t>
  </si>
  <si>
    <t>3.都市計画区域</t>
  </si>
  <si>
    <t>**wskakunin_KUIKI_TOSI</t>
  </si>
  <si>
    <t>cst_wskakunin_KUIKI_TOSI</t>
  </si>
  <si>
    <t>**wskakunin__kuiki</t>
  </si>
  <si>
    <t>cst_wskakunin__kuiki</t>
  </si>
  <si>
    <t>**wskakunin_KUIKI_SIGAIKA</t>
  </si>
  <si>
    <t>cst_wskakunin_KUIKI_SIGAIKA</t>
  </si>
  <si>
    <t>**wskakunin__tosi_kuiki</t>
  </si>
  <si>
    <t>cst_wskakunin__tosi_kuiki</t>
  </si>
  <si>
    <t>**wskakunin_KUIKI_TYOSEI</t>
  </si>
  <si>
    <t>cst_wskakunin_KUIKI_TYOSEI</t>
  </si>
  <si>
    <t>**wskakunin_KUIKI_HISETTEI</t>
  </si>
  <si>
    <t>cst_wskakunin_KUIKI_HISETTEI</t>
  </si>
  <si>
    <t>**wskakunin_KUIKI_JYUN_TOSHI</t>
  </si>
  <si>
    <t>cst_wskakunin_KUIKI_JYUN_TOSHI</t>
  </si>
  <si>
    <t>**wskakunin_KUIKI_KUIKIGAI</t>
  </si>
  <si>
    <t>cst_wskakunin_KUIKI_KUIKIGAI</t>
  </si>
  <si>
    <t>**wskakunin__bouka</t>
  </si>
  <si>
    <t>cst_wskakunin__bouka</t>
  </si>
  <si>
    <t>**wskakunin_BOUKA_BOUKA</t>
  </si>
  <si>
    <t>cst_wskakunin_BOUKA_BOUKA</t>
  </si>
  <si>
    <t>**wskakunin_BOUKA_JYUN_BOUKA</t>
  </si>
  <si>
    <t>cst_wskakunin_BOUKA_JYUN_BOUKA</t>
  </si>
  <si>
    <t>**wskakunin_BOUKA_NASI</t>
  </si>
  <si>
    <t>cst_wskakunin_BOUKA_NASI</t>
  </si>
  <si>
    <t>**wskakunin_BOUKA_22JYO</t>
  </si>
  <si>
    <t>cst_wskakunin_BOUKA_22JYO</t>
  </si>
  <si>
    <t>**wskakunin_SONOTA_KUIKI</t>
  </si>
  <si>
    <t>cst_wskakunin_wskakunin_SONOTA_KUIKI</t>
  </si>
  <si>
    <t>**wskakunin_DOURO_FUKUIN</t>
  </si>
  <si>
    <t>cst_wskakunin_DOURO_FUKUIN</t>
  </si>
  <si>
    <t>**wskakunin_DOURO_NAGASA</t>
  </si>
  <si>
    <t>cst_wskakunin_DOURO_NAGASA</t>
  </si>
  <si>
    <t>（1）A</t>
  </si>
  <si>
    <t>**wskakunin_SHIKITI_MENSEKI_1A</t>
  </si>
  <si>
    <t>cst_wskakunin_SHIKITI_MENSEKI_1A</t>
  </si>
  <si>
    <t>（1）B</t>
  </si>
  <si>
    <t>**wskakunin_SHIKITI_MENSEKI_1B</t>
  </si>
  <si>
    <t>cst_wskakunin_SHIKITI_MENSEKI_1B</t>
  </si>
  <si>
    <t>（1）C</t>
  </si>
  <si>
    <t>**wskakunin_SHIKITI_MENSEKI_1C</t>
  </si>
  <si>
    <t>cst_wskakunin_SHIKITI_MENSEKI_1C</t>
  </si>
  <si>
    <t>（1）D</t>
  </si>
  <si>
    <t>**wskakunin_SHIKITI_MENSEKI_1D</t>
  </si>
  <si>
    <t>cst_wskakunin_SHIKITI_MENSEKI_1D</t>
  </si>
  <si>
    <t>（2）A</t>
  </si>
  <si>
    <t>**wskakunin_SHIKITI_MENSEKI_2A</t>
  </si>
  <si>
    <t>cst_wskakunin_SHIKITI_MENSEKI_2A</t>
  </si>
  <si>
    <t>（2）B</t>
  </si>
  <si>
    <t>**wskakunin_SHIKITI_MENSEKI_2B</t>
  </si>
  <si>
    <t>cst_wskakunin_SHIKITI_MENSEKI_2B</t>
  </si>
  <si>
    <t>（2）C</t>
  </si>
  <si>
    <t>**wskakunin_SHIKITI_MENSEKI_2C</t>
  </si>
  <si>
    <t>cst_wskakunin_SHIKITI_MENSEKI_2C</t>
  </si>
  <si>
    <t>（2）D</t>
  </si>
  <si>
    <t>**wskakunin_SHIKITI_MENSEKI_2D</t>
  </si>
  <si>
    <t>cst_wskakunin_SHIKITI_MENSEKI_2D</t>
  </si>
  <si>
    <t>A</t>
  </si>
  <si>
    <t>**wskakunin_YOUTO_TIIKI_A</t>
  </si>
  <si>
    <t>cst_wskakunin_YOUTO_TIIKI_A</t>
  </si>
  <si>
    <t>B</t>
  </si>
  <si>
    <t>**wskakunin_YOUTO_TIIKI_B</t>
  </si>
  <si>
    <t>cst_wskakunin_YOUTO_TIIKI_B</t>
  </si>
  <si>
    <t>C</t>
  </si>
  <si>
    <t>**wskakunin_YOUTO_TIIKI_C</t>
  </si>
  <si>
    <t>cst_wskakunin_YOUTO_TIIKI_C</t>
  </si>
  <si>
    <t>D</t>
  </si>
  <si>
    <t>**wskakunin_YOUTO_TIIKI_D</t>
  </si>
  <si>
    <t>cst_wskakunin_YOUTO_TIIKI_D</t>
  </si>
  <si>
    <t>**wskakunin_YOUSEKI_RITU_A</t>
  </si>
  <si>
    <t>cst_wskakunin_YOUSEKI_RITU_A</t>
  </si>
  <si>
    <t>**wskakunin_YOUSEKI_RITU_B</t>
  </si>
  <si>
    <t>cst_wskakunin_YOUSEKI_RITU_B</t>
  </si>
  <si>
    <t>**wskakunin_YOUSEKI_RITU_C</t>
  </si>
  <si>
    <t>cst_wskakunin_YOUSEKI_RITU_C</t>
  </si>
  <si>
    <t>**wskakunin_YOUSEKI_RITU_D</t>
  </si>
  <si>
    <t>cst_wskakunin_YOUSEKI_RITU_D</t>
  </si>
  <si>
    <t>**wskakunin_KENPEI_RITU_A</t>
  </si>
  <si>
    <t>cst_wskakunin_KENPEI_RITU_A</t>
  </si>
  <si>
    <t>**wskakunin_KENPEI_RITU_B</t>
  </si>
  <si>
    <t>cst_wskakunin_KENPEI_RITU_B</t>
  </si>
  <si>
    <t>**wskakunin_KENPEI_RITU_C</t>
  </si>
  <si>
    <t>cst_wskakunin_KENPEI_RITU_C</t>
  </si>
  <si>
    <t>**wskakunin_KENPEI_RITU_D</t>
  </si>
  <si>
    <t>cst_wskakunin_KENPEI_RITU_D</t>
  </si>
  <si>
    <t>（1）</t>
  </si>
  <si>
    <t>**wskakunin_SHIKITI_MENSEKI_1_TOTAL</t>
  </si>
  <si>
    <t>cst_wskakunin_SHIKITI_MENSEKI_1_TOTAL</t>
  </si>
  <si>
    <t>（2）</t>
  </si>
  <si>
    <t>**wskakunin_SHIKITI_MENSEKI_2_TOTAL</t>
  </si>
  <si>
    <t>cst_wskakunin_SHIKITI_MENSEKI_2_TOTAL</t>
  </si>
  <si>
    <t>延べ面積を敷地面積で除した数値</t>
  </si>
  <si>
    <t>**wskakunin_LIMIT_YOUSEKI_RITU</t>
  </si>
  <si>
    <t>cst_wskakunin_LIMIT_YOUSEKI_RITU</t>
  </si>
  <si>
    <t>建築面積を敷地面積で除した数値</t>
  </si>
  <si>
    <t>**wskakunin_LIMIT_KENPEI_RITU</t>
  </si>
  <si>
    <t>cst_wskakunin_LIMIT_KENPEI_RITU</t>
  </si>
  <si>
    <t>**wskakunin_SHIKITI_MENSEKI_BIKOU</t>
  </si>
  <si>
    <t>cst_wskakunin_SHIKITI_MENSEKI_BIKOU</t>
  </si>
  <si>
    <t>CODE</t>
  </si>
  <si>
    <t>**wskakunin_YOUTO_CODE</t>
  </si>
  <si>
    <t>cst_wskakunin_YOUTO_CODE</t>
  </si>
  <si>
    <t>**wskakunin_YOUTO</t>
  </si>
  <si>
    <t>cst_wskakunin_YOUTO</t>
  </si>
  <si>
    <t>**wskakunin__kouji</t>
  </si>
  <si>
    <t>cst_wskakunin__kouji</t>
  </si>
  <si>
    <t>**wskakunin_KOUJI_SINTIKU</t>
  </si>
  <si>
    <t>**wskakunin_KOUJI_ZOUTIKU</t>
  </si>
  <si>
    <t>**wskakunin_KOUJI_KAITIKU</t>
  </si>
  <si>
    <t>**wskakunin_KOUJI_ITEN</t>
  </si>
  <si>
    <t>**wskakunin_KOUJI_YOUTOHENKOU</t>
  </si>
  <si>
    <t>大規模の修繕</t>
  </si>
  <si>
    <t>**wskakunin_KOUJI_DAI_SYUUZEN</t>
  </si>
  <si>
    <t>大規模の模様替</t>
  </si>
  <si>
    <t>**wskakunin_KOUJI_DAI_MOYOUGAE</t>
  </si>
  <si>
    <t>建築設備の設置</t>
  </si>
  <si>
    <t>**wskakuninKOUJI_SETUBI</t>
  </si>
  <si>
    <t>申請部分</t>
  </si>
  <si>
    <t>**wskakunin_KENTIKU_MENSEKI_SHINSEI</t>
  </si>
  <si>
    <t>cst_wskakunin_KENTIKU_MENSEKI_SHINSEI</t>
  </si>
  <si>
    <t>**wskakunin_KENTIKU_MENSEKI_IGAI</t>
  </si>
  <si>
    <t>cst_wskakunin_KENTIKU_MENSEKI_IGAI</t>
  </si>
  <si>
    <t>**wskakunin_KENTIKU_MENSEKI_TOTAL</t>
  </si>
  <si>
    <t>cst_wskakunin_KENTIKU_MENSEKI_TOTAL</t>
  </si>
  <si>
    <t>**wskakunin_KENPEI_RITU</t>
  </si>
  <si>
    <t>cst_wskakunin_KENPEI_RITU</t>
  </si>
  <si>
    <t>**wskakunin_NOBE_MENSEKI_BUILD_SHINSEI</t>
  </si>
  <si>
    <t>cst_wskakunin_NOBE_MENSEKI_BUILD_SHINSEI</t>
  </si>
  <si>
    <t>**wskakunin_NOBE_MENSEKI_BUILD_IGAI</t>
  </si>
  <si>
    <t>cst_wskakunin_NOBE_MENSEKI_BUILD_IGAI</t>
  </si>
  <si>
    <t>**wskakunin_NOBE_MENSEKI_BUILD_TOTAL</t>
  </si>
  <si>
    <t>cst_wskakunin_NOBE_MENSEKI_BUILD_TOTAL</t>
  </si>
  <si>
    <t>**wskakunin_NOBE_MENSEKI_TIKAI_SHINSEI</t>
  </si>
  <si>
    <t>cst_wskakunin_NOBE_MENSEKI_TIKAI_SHINSEI</t>
  </si>
  <si>
    <t>**wskakunin_NOBE_MENSEKI_TIKAI_IGAI</t>
  </si>
  <si>
    <t>cst_wskakunin_NOBE_MENSEKI_TIKAI_IGAI</t>
  </si>
  <si>
    <t>**wskakunin_NOBE_MENSEKI_TIKAI_TOTAL</t>
  </si>
  <si>
    <t>cst_wskakunin_NOBE_MENSEKI_TIKAI_TOTAL</t>
  </si>
  <si>
    <t>**wskakunin_NOBE_MENSEKI_SYOUKOURO_SHINSEI</t>
  </si>
  <si>
    <t>cst_wskakunin_NOBE_MENSEKI_SYOUKOURO_SHINSEI</t>
  </si>
  <si>
    <t>**wskakunin_NOBE_MENSEKI_SYOUKOURO_IGAI</t>
  </si>
  <si>
    <t>cst_wskakunin_NOBE_MENSEKI_SYOUKOURO_IGAI</t>
  </si>
  <si>
    <t>**wskakunin_NOBE_MENSEKI_SYOUKOURO_TOTAL</t>
  </si>
  <si>
    <t>cst_wskakunin_NOBE_MENSEKI_SYOUKOURO_TOTAL</t>
  </si>
  <si>
    <t>**wskakunin_NOBE_MENSEKI_KYOYOU_SHINSEI</t>
  </si>
  <si>
    <t>cst_wskakunin_NOBE_MENSEKI_KYOYOU_SHINSEI</t>
  </si>
  <si>
    <t>**wskakunin_NOBE_MENSEKI_KYOYOU_IGAI</t>
  </si>
  <si>
    <t>cst_wskakunin_NOBE_MENSEKI_KYOYOU_IGAI</t>
  </si>
  <si>
    <t>**wskakunin_NOBE_MENSEKI_KYOYOU_TOTAL</t>
  </si>
  <si>
    <t>cst_wskakunin_NOBE_MENSEKI_KYOYOU_TOTAL</t>
  </si>
  <si>
    <t>**wskakunin_NOBE_MENSEKI_SYAKO_SHINSEI</t>
  </si>
  <si>
    <t>cst_wskakunin_NOBE_MENSEKI_SYAKO_SHINSEI</t>
  </si>
  <si>
    <t>**wskakunin_NOBE_MENSEKI_SYAKO_IGAI</t>
  </si>
  <si>
    <t>cst_wskakunin_NOBE_MENSEKI_SYAKO_IGAI</t>
  </si>
  <si>
    <t>**wskakunin_NOBE_MENSEKI_SYAKO_TOTAL</t>
  </si>
  <si>
    <t>cst_wskakunin_NOBE_MENSEKI_SYAKO_TOTAL</t>
  </si>
  <si>
    <t>**wskakunin_NOBE_MENSEKI_BITIKUSOUKO_SHINSEI</t>
  </si>
  <si>
    <t>cst_wskakunin_NOBE_MENSEKI_BITIKUSOUKO_SHINSEI</t>
  </si>
  <si>
    <t>**wskakunin_NOBE_MENSEKI_BITIKUSOUKO_IGAI</t>
  </si>
  <si>
    <t>cst_wskakunin_NOBE_MENSEKI_BITIKUSOUKO_IGAI</t>
  </si>
  <si>
    <t>**wskakunin_NOBE_MENSEKI_BITIKUSOUKO_TOTAL</t>
  </si>
  <si>
    <t>cst_wskakunin_NOBE_MENSEKI_BITIKUSOUKO_TOTAL</t>
  </si>
  <si>
    <t>**wskakunin_NOBE_MENSEKI_TIKUDENTI_SHINSEI</t>
  </si>
  <si>
    <t>cst_wskakunin_NOBE_MENSEKI_TIKUDENTI_SHINSEI</t>
  </si>
  <si>
    <t>**wskakunin_NOBE_MENSEKI_TIKUDENTI_IGAI</t>
  </si>
  <si>
    <t>cst_wskakunin_NOBE_MENSEKI_TIKUDENTI_IGAI</t>
  </si>
  <si>
    <t>**wskakunin_NOBE_MENSEKI_TIKUDENTI_TOTAL</t>
  </si>
  <si>
    <t>cst_wskakunin_NOBE_MENSEKI_TIKUDENTI_TOTAL</t>
  </si>
  <si>
    <t>**wskakunin_NOBE_MENSEKI_JIKAHATUDEN_SHINSEI</t>
  </si>
  <si>
    <t>cst_wskakunin_NOBE_MENSEKI_JIKAHATUDEN_SHINSEI</t>
  </si>
  <si>
    <t>**wskakunin_NOBE_MENSEKI_JIKAHATUDEN_IGAI</t>
  </si>
  <si>
    <t>cst_wskakunin_NOBE_MENSEKI_JIKAHATUDEN_IGAI</t>
  </si>
  <si>
    <t>**wskakunin_NOBE_MENSEKI_JIKAHATUDEN_TOTAL</t>
  </si>
  <si>
    <t>cst_wskakunin_NOBE_MENSEKI_JIKAHATUDEN_TOTAL</t>
  </si>
  <si>
    <t>**wskakunin_NOBE_MENSEKI_CHOSUISOU_SHINSEI</t>
  </si>
  <si>
    <t>cst_wskakunin_NOBE_MENSEKI_CHOSUISOU_SHINSEI</t>
  </si>
  <si>
    <t>**wskakunin_NOBE_MENSEKI_CHOSUISOU_IGAI</t>
  </si>
  <si>
    <t>cst_wskakunin_NOBE_MENSEKI_CHOSUISOU_IGAI</t>
  </si>
  <si>
    <t>**wskakunin_NOBE_MENSEKI_CHOSUISOU_TOTAL</t>
  </si>
  <si>
    <t>cst_wskakunin_NOBE_MENSEKI_CHOSUISOU_TOTAL</t>
  </si>
  <si>
    <t>**wskakunin_NOBE_MENSEKI_JYUTAKU_SHINSEI</t>
  </si>
  <si>
    <t>cst_wskakunin_NOBE_MENSEKI_JYUTAKU_SHINSEI</t>
  </si>
  <si>
    <t>**wskakunin_NOBE_MENSEKI_JYUTAKU_IGAI</t>
  </si>
  <si>
    <t>cst_wskakunin_NOBE_MENSEKI_JYUTAKU_IGAI</t>
  </si>
  <si>
    <t>**wskakunin_NOBE_MENSEKI_JYUTAKU_TOTAL</t>
  </si>
  <si>
    <t>cst_wskakunin_NOBE_MENSEKI_JYUTAKU_TOTAL</t>
  </si>
  <si>
    <t>**wskakunin_NOBE_MENSEKI_ROUJIN_SHINSEI</t>
  </si>
  <si>
    <t>cst_wskakunin_NOBE_MENSEKI_ROUJIN_SHINSEI</t>
  </si>
  <si>
    <t>**wskakunin_NOBE_MENSEKI_ROUJIN_IGAI</t>
  </si>
  <si>
    <t>cst_wskakunin_NOBE_MENSEKI_ROUJIN_IGAI</t>
  </si>
  <si>
    <t>**wskakunin_NOBE_MENSEKI_ROUJIN_TOTAL</t>
  </si>
  <si>
    <t>cst_wskakunin_NOBE_MENSEKI_ROUJIN_TOTAL</t>
  </si>
  <si>
    <t>**wskakunin_NOBE_MENSEKI</t>
  </si>
  <si>
    <t>cst_wskakunin_NOBE_MENSEKI</t>
  </si>
  <si>
    <t>**wskakunin_YOUSEKI_RITU</t>
  </si>
  <si>
    <t>cst_wskakunin_YOUSEKI_RITU</t>
  </si>
  <si>
    <t>申請に係る建築物の数</t>
  </si>
  <si>
    <t>**wskakunin_BUILD_SHINSEI_COUNT</t>
  </si>
  <si>
    <t>cst_wskakunin_BUILD_SHINSEI_COUNT</t>
  </si>
  <si>
    <t>同一敷地内の他の建築物の数</t>
  </si>
  <si>
    <t>**wskakunin_BUILD_SONOTA_COUNT</t>
  </si>
  <si>
    <t>cst_wskakunin_BUILD_SONOTA_COUNT</t>
  </si>
  <si>
    <t>申請に係る建築物</t>
  </si>
  <si>
    <t>**wskakunin_TAKASA_MAX_SHINSEI</t>
  </si>
  <si>
    <t>cst_wskakunin_TAKASA_MAX_SHINSEI</t>
  </si>
  <si>
    <t>**wskakunin_TAKASA_MAX_SONOTA</t>
  </si>
  <si>
    <t>cst_wskakunin_TAKASA_MAX_SONOTA</t>
  </si>
  <si>
    <t>**wskakunin_KAISU_TIJYOU_SHINSEI</t>
  </si>
  <si>
    <t>cst_wskakunin_KAISU_TIJYOU_SHINSEI</t>
  </si>
  <si>
    <t>**wskakunin_KAISU_TIJYOU_SONOTA</t>
  </si>
  <si>
    <t>cst_wskakunin_KAISU_TIJYOU_SONOTA</t>
  </si>
  <si>
    <t>**wskakunin_KAISU_TIKA_SHINSEI__zero</t>
  </si>
  <si>
    <t>cst_wskakunin_KAISU_TIKA_SHINSEI__zero</t>
  </si>
  <si>
    <t>**wskakunin_KAISU_TIKA_SONOTA</t>
  </si>
  <si>
    <t>cst_wskakunin_KAISU_TIKA_SONOTA</t>
  </si>
  <si>
    <t>**wskakunin_KOUZOU1</t>
  </si>
  <si>
    <t>cst_wskakunin_KOUZOU1</t>
  </si>
  <si>
    <t>**wskakunin_KOUZOU2</t>
  </si>
  <si>
    <t>cst_wskakunin_KOUZOU2</t>
  </si>
  <si>
    <t>**wskakunin_TOKUREI_TAKASA</t>
  </si>
  <si>
    <t>cst_wskakunin_TOKUREI_TAKASA</t>
  </si>
  <si>
    <t>cst_wskakunin_TOKUREI_TAKASA_box_off</t>
  </si>
  <si>
    <t>道路高さ制限不適用</t>
  </si>
  <si>
    <t>**wskakunin_TOKUREI_TAKASA_DOURO</t>
  </si>
  <si>
    <t>cst_wskakunin_TOKUREI_TAKASA_DOURO</t>
  </si>
  <si>
    <t>隣地高さ制限不適用</t>
  </si>
  <si>
    <t>**wskakunin_TOKUREI_TAKASA_RINTI</t>
  </si>
  <si>
    <t>cst_wskakunin_TOKUREI_TAKASA_RINTI</t>
  </si>
  <si>
    <t>北側高さ制限不適用</t>
  </si>
  <si>
    <t>**wskakunin_TOKUREI_TAKASA_KITA</t>
  </si>
  <si>
    <t>cst_wskakunin_TOKUREI_TAKASA_KITA</t>
  </si>
  <si>
    <t>15.工事着手予定年月日</t>
  </si>
  <si>
    <t>**wskakunin_KOUJI_TYAKUSYU_YOTEI_DATE</t>
  </si>
  <si>
    <t>cst_wskakunin_KOUJI_TYAKUSYU_YOTEI_DATE</t>
  </si>
  <si>
    <t>16.工事完了予定年月日</t>
  </si>
  <si>
    <t>**wskakunin_KOUJI_KANRYOU_YOTEI_DATE</t>
  </si>
  <si>
    <t>cst_wskakunin_KOUJI_KANRYOU_YOTEI_DATE</t>
  </si>
  <si>
    <t>17.特定工程工事終了予定年月日</t>
  </si>
  <si>
    <t>1.</t>
  </si>
  <si>
    <t>**wskakunin_koutei01_KOUTEI_KAISUU</t>
  </si>
  <si>
    <t>cst_wskakunin_koutei01_KOUTEI_KAISUU</t>
  </si>
  <si>
    <t>**wskakunin_koutei01_KOUTEI_DATE</t>
  </si>
  <si>
    <t>cst_wskakunin_koutei01_KOUTEI_DATE</t>
  </si>
  <si>
    <t>**wskakunin_koutei01_KOUTEI_TEXT</t>
  </si>
  <si>
    <t>cst_wskakunin_koutei01_KOUTEI_TEXT</t>
  </si>
  <si>
    <t>2.</t>
  </si>
  <si>
    <t>**wskakunin_koutei02_KOUTEI_KAISUU</t>
  </si>
  <si>
    <t>**wskakunin_koutei02_KOUTEI_DATE</t>
  </si>
  <si>
    <t>**wskakunin_koutei02_KOUTEI_TEXT</t>
  </si>
  <si>
    <t>3.</t>
  </si>
  <si>
    <t>**wskakunin_koutei03_KOUTEI_KAISUU</t>
  </si>
  <si>
    <t>cst_wskakunin_koutei03_KOUTEI_KAISUU</t>
  </si>
  <si>
    <t>**wskakunin_koutei03_KOUTEI_DATE</t>
  </si>
  <si>
    <t>cst_wskakunin_koutei03_KOUTEI_DATE</t>
  </si>
  <si>
    <t>**wskakunin_koutei03_KOUTEI_TEXT</t>
  </si>
  <si>
    <t>cst_wskakunin_koutei03_KOUTEI_TEXT</t>
  </si>
  <si>
    <t>18.その他必要な事項</t>
  </si>
  <si>
    <t>**wskakunin_P3_SONOTA</t>
  </si>
  <si>
    <t>cst_wskakunin_P3_SONOTA</t>
  </si>
  <si>
    <t>**wskakunin_P3_BIKOU</t>
  </si>
  <si>
    <t>cst_wskakunin_P3_BIKOU</t>
  </si>
  <si>
    <t>中間検査申請</t>
  </si>
  <si>
    <t>完了検査申請</t>
  </si>
  <si>
    <t>申請書種別</t>
  </si>
  <si>
    <t>1=建築物、
2=昇降機、3=建築設備、
4=工作物(88-1)、5=工作物(88-2)</t>
  </si>
  <si>
    <t>申請対象</t>
  </si>
  <si>
    <t>申請書セット種別</t>
  </si>
  <si>
    <t>0=不明な申請、100=基準法、200=適合証明、
300=性能評価</t>
  </si>
  <si>
    <t>*</t>
  </si>
  <si>
    <t>建築物</t>
  </si>
  <si>
    <t>昇降機</t>
  </si>
  <si>
    <t>建築設備</t>
  </si>
  <si>
    <t>工作物(88-1)</t>
  </si>
  <si>
    <t>工作物(88-2)</t>
  </si>
  <si>
    <t>cls_TARGET_KIND_erea</t>
  </si>
  <si>
    <t>cls_TARGET_KIND_base_point</t>
  </si>
  <si>
    <t>cst_DATA</t>
  </si>
  <si>
    <t>計画変更</t>
  </si>
  <si>
    <t>中間検査</t>
  </si>
  <si>
    <t>完了検査</t>
  </si>
  <si>
    <t>その他申請</t>
  </si>
  <si>
    <t>確認申請</t>
  </si>
  <si>
    <t>cls_JOB_KIND_erea</t>
  </si>
  <si>
    <t>cls_JOB_KIND_base_point</t>
  </si>
  <si>
    <t>＜基準法＞
101=確認申請、102=計画変更、103=中間検査、104=完了検査
＜その他申請＞
999=その他申請</t>
  </si>
  <si>
    <t>cst_wsjob_JOB_SET_KIND</t>
  </si>
  <si>
    <t>**wsjob_JOB_SET_KIND</t>
  </si>
  <si>
    <t>cls_JOB_SET_KIND_erea</t>
  </si>
  <si>
    <t>cls_JOB_SET_KIND_base_point</t>
  </si>
  <si>
    <t>不明な申請</t>
  </si>
  <si>
    <t>基準法</t>
  </si>
  <si>
    <t>適合証明</t>
  </si>
  <si>
    <t>性能評価</t>
  </si>
  <si>
    <t>交付日</t>
  </si>
  <si>
    <t>**wskakunin_kyoka##_****</t>
  </si>
  <si>
    <t>根拠となる法令</t>
  </si>
  <si>
    <t>根拠となる法令の条項</t>
  </si>
  <si>
    <t>許可・認定等の番号</t>
  </si>
  <si>
    <t>認可・認定等を受けた日付</t>
  </si>
  <si>
    <t>**wskakunin_kyoka01_JOUKOU</t>
  </si>
  <si>
    <t>**wskakunin_kyoka01_HOUREI</t>
  </si>
  <si>
    <t>**wskakunin_kyoka01_KYOKA_NO</t>
  </si>
  <si>
    <t>**wskakunin_kyoka01_KYOKA_DATE</t>
  </si>
  <si>
    <t>**wskakunin_kyoka01_BIKOU</t>
  </si>
  <si>
    <t>**wskakunin_kyoka02_HOUREI</t>
  </si>
  <si>
    <t>**wskakunin_kyoka02_JOUKOU</t>
  </si>
  <si>
    <t>**wskakunin_kyoka02_KYOKA_NO</t>
  </si>
  <si>
    <t>**wskakunin_kyoka02_KYOKA_DATE</t>
  </si>
  <si>
    <t>**wskakunin_kyoka02_BIKOU</t>
  </si>
  <si>
    <t>**wskakunin_kyoka03_HOUREI</t>
  </si>
  <si>
    <t>**wskakunin_kyoka03_JOUKOU</t>
  </si>
  <si>
    <t>**wskakunin_kyoka03_KYOKA_NO</t>
  </si>
  <si>
    <t>**wskakunin_kyoka03_KYOKA_DATE</t>
  </si>
  <si>
    <t>**wskakunin_kyoka03_BIKOU</t>
  </si>
  <si>
    <t>一括出力</t>
  </si>
  <si>
    <t>許可01一括出力</t>
  </si>
  <si>
    <t>許可03一括出力</t>
  </si>
  <si>
    <t>許可02一括出力</t>
  </si>
  <si>
    <t>cst_wskakunin_kyoka01_HOUREI</t>
  </si>
  <si>
    <t>cst_wskakunin_kyoka02_HOUREI</t>
  </si>
  <si>
    <t>cst_wskakunin_kyoka03_HOUREI</t>
  </si>
  <si>
    <t>cst_wskakunin_kyoka_HOUREI_all</t>
  </si>
  <si>
    <t>現在、３行対応。</t>
  </si>
  <si>
    <t>**wskakunin_TOKUREI_1</t>
  </si>
  <si>
    <t>**wskakunin_TOKUREI_2</t>
  </si>
  <si>
    <t>**wskakunin_TOKUREI_3</t>
  </si>
  <si>
    <t>**wskakunin_TOKUREI_4</t>
  </si>
  <si>
    <t>**wskakunin_KENTIKU_NINSYO_NO</t>
  </si>
  <si>
    <t>**wskakunin_BUILD_ADDRESS</t>
  </si>
  <si>
    <t>cst_wskakunin_BUILD_ADDRESS</t>
  </si>
  <si>
    <t>-都道府県</t>
  </si>
  <si>
    <t>-住所</t>
  </si>
  <si>
    <t>**wskakunin_BUILD_JYUKYO__address</t>
  </si>
  <si>
    <t>**wskakunin_BUILD_JYUKYO_KEN__ken</t>
  </si>
  <si>
    <t>cst_wskakunin_BUILD_JYUKYO__address</t>
  </si>
  <si>
    <t>cst_wskakunin_BUILD_JYUKYO_KEN__ken</t>
  </si>
  <si>
    <t>建築物全体</t>
  </si>
  <si>
    <t>地階の住宅</t>
  </si>
  <si>
    <t>エレベーター</t>
  </si>
  <si>
    <t>共同住宅の共用</t>
  </si>
  <si>
    <t>自動車車庫等の部分</t>
  </si>
  <si>
    <t>備蓄倉庫の部分</t>
  </si>
  <si>
    <t>蓄電池の設置部分</t>
  </si>
  <si>
    <t>自家発電設備</t>
  </si>
  <si>
    <t>貯水槽の設置部分</t>
  </si>
  <si>
    <t>住宅の部分</t>
  </si>
  <si>
    <t>老人ホーム</t>
  </si>
  <si>
    <t>延べ面積</t>
  </si>
  <si>
    <t>**wskakunin_TOKUTEI_KOUTEI</t>
  </si>
  <si>
    <t>**wskakunin_TOKUTEI_KOUJI_KANRYOU_DATE</t>
  </si>
  <si>
    <t>**wskakunin_KENSA_YUKA_MENSEKI</t>
  </si>
  <si>
    <t>**wskakunin_koutei_izen01_KOUTEI_KAISUU</t>
  </si>
  <si>
    <t>**wskakunin_koutei_izen01_KOUTEI_TEXT</t>
  </si>
  <si>
    <t>**wskakunin_koutei_izen01_INTER_ISSUE_NAME</t>
  </si>
  <si>
    <t>**wskakunin_koutei_izen01_INTER_ISSUE_NO</t>
  </si>
  <si>
    <t>**wskakunin_koutei_izen01_INTER_ISSUE_DATE</t>
  </si>
  <si>
    <t>**wskakunin_koutei_izen02_KOUTEI_KAISUU</t>
  </si>
  <si>
    <t>**wskakunin_koutei_izen02_KOUTEI_TEXT</t>
  </si>
  <si>
    <t>**wskakunin_koutei_izen02_INTER_ISSUE_NAME</t>
  </si>
  <si>
    <t>**wskakunin_koutei_izen02_INTER_ISSUE_NO</t>
  </si>
  <si>
    <t>**wskakunin_koutei_izen02_INTER_ISSUE_DATE</t>
  </si>
  <si>
    <t>**wskakunin_koutei_ikou01_KOUTEI_KAISUU</t>
  </si>
  <si>
    <t>**wskakunin_koutei_ikou01_KOUTEI_TEXT</t>
  </si>
  <si>
    <t>**wskakunin_koutei_ikou01_KOUTEI_DATE</t>
  </si>
  <si>
    <t>**wskakunin_koutei_ikou02_KOUTEI_KAISUU</t>
  </si>
  <si>
    <t>**wskakunin_koutei_ikou02_KOUTEI_TEXT</t>
  </si>
  <si>
    <t>**wskakunin_koutei_ikou02_KOUTEI_DATE</t>
  </si>
  <si>
    <t>**wskakunin_sekkei1_TOUROKU_KIKAN__label</t>
  </si>
  <si>
    <t>**wskakunin_sekkei1_JIMU_TOUROKU_KIKAN__label</t>
  </si>
  <si>
    <t>**wskakunin_sekkei2_TOUROKU_KIKAN__label</t>
  </si>
  <si>
    <t>**wskakunin_sekkei2_JIMU_TOUROKU_KIKAN__label</t>
  </si>
  <si>
    <t>**wskakunin_sekkei3_TOUROKU_KIKAN__label</t>
  </si>
  <si>
    <t>**wskakunin_sekkei3_JIMU_TOUROKU_KIKAN__label</t>
  </si>
  <si>
    <t>**wskakunin_sekkei4_TOUROKU_KIKAN__label</t>
  </si>
  <si>
    <t>**wskakunin_sekkei4_JIMU_TOUROKU_KIKAN__label</t>
  </si>
  <si>
    <t>**wskakunin_kanri1_TOUROKU_KIKAN__label</t>
  </si>
  <si>
    <t>**wskakunin_kanri1_JIMU_TOUROKU_KIKAN__label</t>
  </si>
  <si>
    <t>**wskakunin_kanri2_TOUROKU_KIKAN__label</t>
  </si>
  <si>
    <t>**wskakunin_kanri2_JIMU_TOUROKU_KIKAN__label</t>
  </si>
  <si>
    <t>**wskakunin_kanri3_TOUROKU_KIKAN__label</t>
  </si>
  <si>
    <t>**wskakunin_kanri3_JIMU_TOUROKU_KIKAN__label</t>
  </si>
  <si>
    <t>**wskakunin_kanri4_TOUROKU_KIKAN__label</t>
  </si>
  <si>
    <t>**wskakunin_kanri4_JIMU_TOUROKU_KIKAN__label</t>
  </si>
  <si>
    <t>cst_wskakunin_iken1_NAME</t>
  </si>
  <si>
    <t>cst_wskakunin_iken1__address</t>
  </si>
  <si>
    <t>cst_wskakunin_iken1_TEL</t>
  </si>
  <si>
    <t>cst_wskakunin_iken1_DOC</t>
  </si>
  <si>
    <t>**wskakunin_iken1_NAME</t>
  </si>
  <si>
    <t>**wskakunin_iken1_JIMU_NAME</t>
  </si>
  <si>
    <t>**wskakunin_iken1_ZIP</t>
  </si>
  <si>
    <t>**wskakunin_iken1__address</t>
  </si>
  <si>
    <t>**wskakunin_iken1_TEL</t>
  </si>
  <si>
    <t>**wskakunin_iken1_IKEN_NO</t>
  </si>
  <si>
    <t>**wskakunin_iken1_DOC</t>
  </si>
  <si>
    <t>cst_wskakunin_iken1_JIMU_NAME</t>
  </si>
  <si>
    <t>cst_wskakunin_iken1_ZIP</t>
  </si>
  <si>
    <t>cst_wskakunin_iken1_IKEN_NO</t>
  </si>
  <si>
    <t>cst_wskakunin_iken2_NAME</t>
  </si>
  <si>
    <t>cst_wskakunin_iken2__address</t>
  </si>
  <si>
    <t>cst_wskakunin_iken2_TEL</t>
  </si>
  <si>
    <t>cst_wskakunin_iken2_DOC</t>
  </si>
  <si>
    <t>cst_wskakunin_iken2_JIMU_NAME</t>
  </si>
  <si>
    <t>cst_wskakunin_iken2_ZIP</t>
  </si>
  <si>
    <t>cst_wskakunin_iken2_IKEN_NO</t>
  </si>
  <si>
    <t>**wskakunin_iken2_NAME</t>
  </si>
  <si>
    <t>**wskakunin_iken2_JIMU_NAME</t>
  </si>
  <si>
    <t>**wskakunin_iken2_ZIP</t>
  </si>
  <si>
    <t>**wskakunin_iken2__address</t>
  </si>
  <si>
    <t>**wskakunin_iken2_TEL</t>
  </si>
  <si>
    <t>**wskakunin_iken2_IKEN_NO</t>
  </si>
  <si>
    <t>**wskakunin_iken2_DOC</t>
  </si>
  <si>
    <t>**wskakunin_dairi1_JIMU_TOUROKU_KIKAN__label</t>
  </si>
  <si>
    <t>**wskakunin_dairi1_TOUROKU_KIKAN__label</t>
  </si>
  <si>
    <t>cst_wskakunin_iken3_NAME</t>
  </si>
  <si>
    <t>cst_wskakunin_iken3_JIMU_NAME</t>
  </si>
  <si>
    <t>cst_wskakunin_iken3_ZIP</t>
  </si>
  <si>
    <t>cst_wskakunin_iken3__address</t>
  </si>
  <si>
    <t>cst_wskakunin_iken3_TEL</t>
  </si>
  <si>
    <t>cst_wskakunin_iken3_IKEN_NO</t>
  </si>
  <si>
    <t>cst_wskakunin_iken3_DOC</t>
  </si>
  <si>
    <t>cst_wskakunin_iken4_NAME</t>
  </si>
  <si>
    <t>cst_wskakunin_iken4_JIMU_NAME</t>
  </si>
  <si>
    <t>cst_wskakunin_iken4_ZIP</t>
  </si>
  <si>
    <t>cst_wskakunin_iken4__address</t>
  </si>
  <si>
    <t>cst_wskakunin_iken4_TEL</t>
  </si>
  <si>
    <t>cst_wskakunin_iken4_IKEN_NO</t>
  </si>
  <si>
    <t>cst_wskakunin_iken4_DOC</t>
  </si>
  <si>
    <t>**wskakunin_iken3_NAME</t>
  </si>
  <si>
    <t>**wskakunin_iken3_JIMU_NAME</t>
  </si>
  <si>
    <t>**wskakunin_iken3_ZIP</t>
  </si>
  <si>
    <t>**wskakunin_iken3__address</t>
  </si>
  <si>
    <t>**wskakunin_iken3_TEL</t>
  </si>
  <si>
    <t>**wskakunin_iken3_IKEN_NO</t>
  </si>
  <si>
    <t>**wskakunin_iken3_DOC</t>
  </si>
  <si>
    <t>**wskakunin_iken4_NAME</t>
  </si>
  <si>
    <t>**wskakunin_iken4_JIMU_NAME</t>
  </si>
  <si>
    <t>**wskakunin_iken4_ZIP</t>
  </si>
  <si>
    <t>**wskakunin_iken4__address</t>
  </si>
  <si>
    <t>**wskakunin_iken4_TEL</t>
  </si>
  <si>
    <t>**wskakunin_iken4_IKEN_NO</t>
  </si>
  <si>
    <t>**wskakunin_iken4_DOC</t>
  </si>
  <si>
    <t>**wskakunin_sekou1_SEKOU_NO</t>
  </si>
  <si>
    <t>建設業の資格一括</t>
  </si>
  <si>
    <t>cst_wskakunin_sekou1_SEKOU_SIKAKU</t>
  </si>
  <si>
    <t>cst_wskakunin_sekou1_SEKOU_NO</t>
  </si>
  <si>
    <t>**wskakunin_sekou1_SEKOU_SIKAKU__label</t>
  </si>
  <si>
    <t>cst_wskakunin_kanri4_JIMU_SIKAKU</t>
  </si>
  <si>
    <t>cst_wskakunin_kanri1_SIKAKU</t>
  </si>
  <si>
    <t>cst_wskakunin_kanri1_JIMU_SIKAKU</t>
  </si>
  <si>
    <t>cst_wskakunin_kanri2_SIKAKU</t>
  </si>
  <si>
    <t>cst_wskakunin_kanri2_JIMU_SIKAKU</t>
  </si>
  <si>
    <t>cst_wskakunin_kanri3_SIKAKU</t>
  </si>
  <si>
    <t>cst_wskakunin_kanri3_JIMU_SIKAKU</t>
  </si>
  <si>
    <t>cst_wskakunin_kanri4_SIKAKU</t>
  </si>
  <si>
    <t>cst_wskakunin_dairi1_JIMU_SIKAKU</t>
  </si>
  <si>
    <t>cst_wskakunin_sekkei1_JIMU_SIKAKU</t>
  </si>
  <si>
    <t>cst_wskakunin_sekkei2_JIMU_SIKAKU</t>
  </si>
  <si>
    <t>cst_wskakunin_sekkei3_JIMU_SIKAKU</t>
  </si>
  <si>
    <t>cst_wskakunin_sekkei4_JIMU_SIKAKU</t>
  </si>
  <si>
    <t>建築主2</t>
  </si>
  <si>
    <t>建築主3</t>
  </si>
  <si>
    <t>建築主4</t>
  </si>
  <si>
    <t>建築主5</t>
  </si>
  <si>
    <t>建築主6</t>
  </si>
  <si>
    <t>建築主7</t>
  </si>
  <si>
    <t>建築主8</t>
  </si>
  <si>
    <t>建築主9</t>
  </si>
  <si>
    <t>**wskakunin_owner2_JIMU_NAME</t>
  </si>
  <si>
    <t>**wskakunin_owner2_JIMU_NAME_KANA</t>
  </si>
  <si>
    <t>**wskakunin_owner2_POST</t>
  </si>
  <si>
    <t>cst_wskakunin_owner2_POST</t>
  </si>
  <si>
    <t>**wskakunin_owner2_POST_KANA</t>
  </si>
  <si>
    <t>cst_wskakunin_owner2_POST_KANA</t>
  </si>
  <si>
    <t>**wskakunin_owner2_NAME</t>
  </si>
  <si>
    <t>cst_wskakunin_owner2_NAME</t>
  </si>
  <si>
    <t>**wskakunin_owner2_NAME_KANA</t>
  </si>
  <si>
    <t>cst_wskakunin_owner2_NAME_KANA</t>
  </si>
  <si>
    <t>**wskakunin_owner2_ZIP</t>
  </si>
  <si>
    <t>cst_wskakunin_owner2_ZIP</t>
  </si>
  <si>
    <t>**wskakunin_owner2__address</t>
  </si>
  <si>
    <t>**wskakunin_owner2_TEL</t>
  </si>
  <si>
    <t>cst_wskakunin_owner2_TEL</t>
  </si>
  <si>
    <t>**wskakunin_owner3_JIMU_NAME</t>
  </si>
  <si>
    <t>cst_wskakunin_owner3_JIMU_NAME</t>
  </si>
  <si>
    <t>**wskakunin_owner3_JIMU_NAME_KANA</t>
  </si>
  <si>
    <t>cst_wskakunin_owner3_JIMU_NAME_KANA</t>
  </si>
  <si>
    <t>**wskakunin_owner3_POST</t>
  </si>
  <si>
    <t>cst_wskakunin_owner3_POST</t>
  </si>
  <si>
    <t>**wskakunin_owner3_POST_KANA</t>
  </si>
  <si>
    <t>cst_wskakunin_owner3_POST_KANA</t>
  </si>
  <si>
    <t>**wskakunin_owner3_NAME</t>
  </si>
  <si>
    <t>cst_wskakunin_owner3_NAME</t>
  </si>
  <si>
    <t>**wskakunin_owner3_NAME_KANA</t>
  </si>
  <si>
    <t>cst_wskakunin_owner3_NAME_KANA</t>
  </si>
  <si>
    <t>**wskakunin_owner3_ZIP</t>
  </si>
  <si>
    <t>cst_wskakunin_owner3_ZIP</t>
  </si>
  <si>
    <t>**wskakunin_owner3__address</t>
  </si>
  <si>
    <t>cst_wskakunin_owner3__address</t>
  </si>
  <si>
    <t>**wskakunin_owner3_TEL</t>
  </si>
  <si>
    <t>cst_wskakunin_owner3_TEL</t>
  </si>
  <si>
    <t>**wskakunin_owner4_JIMU_NAME</t>
  </si>
  <si>
    <t>cst_wskakunin_owner4_JIMU_NAME</t>
  </si>
  <si>
    <t>**wskakunin_owner4_JIMU_NAME_KANA</t>
  </si>
  <si>
    <t>cst_wskakunin_owner4_JIMU_NAME_KANA</t>
  </si>
  <si>
    <t>**wskakunin_owner4_POST</t>
  </si>
  <si>
    <t>cst_wskakunin_owner4_POST</t>
  </si>
  <si>
    <t>**wskakunin_owner4_POST_KANA</t>
  </si>
  <si>
    <t>cst_wskakunin_owner4_POST_KANA</t>
  </si>
  <si>
    <t>**wskakunin_owner4_NAME</t>
  </si>
  <si>
    <t>cst_wskakunin_owner4_NAME</t>
  </si>
  <si>
    <t>**wskakunin_owner4_NAME_KANA</t>
  </si>
  <si>
    <t>cst_wskakunin_owner4_NAME_KANA</t>
  </si>
  <si>
    <t>**wskakunin_owner4_ZIP</t>
  </si>
  <si>
    <t>cst_wskakunin_owner4_ZIP</t>
  </si>
  <si>
    <t>**wskakunin_owner4__address</t>
  </si>
  <si>
    <t>cst_wskakunin_owner4__address</t>
  </si>
  <si>
    <t>**wskakunin_owner4_TEL</t>
  </si>
  <si>
    <t>cst_wskakunin_owner4_TEL</t>
  </si>
  <si>
    <t>**wskakunin_owner5_JIMU_NAME</t>
  </si>
  <si>
    <t>cst_wskakunin_owner5_JIMU_NAME</t>
  </si>
  <si>
    <t>**wskakunin_owner5_JIMU_NAME_KANA</t>
  </si>
  <si>
    <t>cst_wskakunin_owner5_JIMU_NAME_KANA</t>
  </si>
  <si>
    <t>**wskakunin_owner5_POST</t>
  </si>
  <si>
    <t>cst_wskakunin_owner5_POST</t>
  </si>
  <si>
    <t>**wskakunin_owner5_POST_KANA</t>
  </si>
  <si>
    <t>cst_wskakunin_owner5_POST_KANA</t>
  </si>
  <si>
    <t>**wskakunin_owner5_NAME</t>
  </si>
  <si>
    <t>cst_wskakunin_owner5_NAME</t>
  </si>
  <si>
    <t>**wskakunin_owner5_NAME_KANA</t>
  </si>
  <si>
    <t>cst_wskakunin_owner5_NAME_KANA</t>
  </si>
  <si>
    <t>**wskakunin_owner5_ZIP</t>
  </si>
  <si>
    <t>cst_wskakunin_owner5_ZIP</t>
  </si>
  <si>
    <t>**wskakunin_owner5__address</t>
  </si>
  <si>
    <t>cst_wskakunin_owner5__address</t>
  </si>
  <si>
    <t>**wskakunin_owner5_TEL</t>
  </si>
  <si>
    <t>cst_wskakunin_owner5_TEL</t>
  </si>
  <si>
    <t>**wskakunin_owner6_JIMU_NAME</t>
  </si>
  <si>
    <t>cst_wskakunin_owner6_JIMU_NAME</t>
  </si>
  <si>
    <t>**wskakunin_owner6_JIMU_NAME_KANA</t>
  </si>
  <si>
    <t>cst_wskakunin_owner6_JIMU_NAME_KANA</t>
  </si>
  <si>
    <t>**wskakunin_owner6_POST</t>
  </si>
  <si>
    <t>cst_wskakunin_owner6_POST</t>
  </si>
  <si>
    <t>**wskakunin_owner6_POST_KANA</t>
  </si>
  <si>
    <t>cst_wskakunin_owner6_POST_KANA</t>
  </si>
  <si>
    <t>**wskakunin_owner6_NAME</t>
  </si>
  <si>
    <t>cst_wskakunin_owner6_NAME</t>
  </si>
  <si>
    <t>**wskakunin_owner6_NAME_KANA</t>
  </si>
  <si>
    <t>cst_wskakunin_owner6_NAME_KANA</t>
  </si>
  <si>
    <t>**wskakunin_owner6_ZIP</t>
  </si>
  <si>
    <t>cst_wskakunin_owner6_ZIP</t>
  </si>
  <si>
    <t>**wskakunin_owner6__address</t>
  </si>
  <si>
    <t>cst_wskakunin_owner6__address</t>
  </si>
  <si>
    <t>**wskakunin_owner6_TEL</t>
  </si>
  <si>
    <t>cst_wskakunin_owner6_TEL</t>
  </si>
  <si>
    <t>**wskakunin_owner7_JIMU_NAME</t>
  </si>
  <si>
    <t>cst_wskakunin_owner7_JIMU_NAME</t>
  </si>
  <si>
    <t>**wskakunin_owner7_JIMU_NAME_KANA</t>
  </si>
  <si>
    <t>cst_wskakunin_owner7_JIMU_NAME_KANA</t>
  </si>
  <si>
    <t>**wskakunin_owner7_POST</t>
  </si>
  <si>
    <t>cst_wskakunin_owner7_POST</t>
  </si>
  <si>
    <t>**wskakunin_owner7_POST_KANA</t>
  </si>
  <si>
    <t>cst_wskakunin_owner7_POST_KANA</t>
  </si>
  <si>
    <t>**wskakunin_owner7_NAME</t>
  </si>
  <si>
    <t>cst_wskakunin_owner7_NAME</t>
  </si>
  <si>
    <t>**wskakunin_owner7_NAME_KANA</t>
  </si>
  <si>
    <t>cst_wskakunin_owner7_NAME_KANA</t>
  </si>
  <si>
    <t>**wskakunin_owner7_ZIP</t>
  </si>
  <si>
    <t>cst_wskakunin_owner7_ZIP</t>
  </si>
  <si>
    <t>**wskakunin_owner7__address</t>
  </si>
  <si>
    <t>cst_wskakunin_owner7__address</t>
  </si>
  <si>
    <t>**wskakunin_owner7_TEL</t>
  </si>
  <si>
    <t>cst_wskakunin_owner7_TEL</t>
  </si>
  <si>
    <t>**wskakunin_owner8_JIMU_NAME</t>
  </si>
  <si>
    <t>cst_wskakunin_owner8_JIMU_NAME</t>
  </si>
  <si>
    <t>**wskakunin_owner8_JIMU_NAME_KANA</t>
  </si>
  <si>
    <t>cst_wskakunin_owner8_JIMU_NAME_KANA</t>
  </si>
  <si>
    <t>**wskakunin_owner8_POST</t>
  </si>
  <si>
    <t>cst_wskakunin_owner8_POST</t>
  </si>
  <si>
    <t>**wskakunin_owner8_POST_KANA</t>
  </si>
  <si>
    <t>cst_wskakunin_owner8_POST_KANA</t>
  </si>
  <si>
    <t>**wskakunin_owner8_NAME</t>
  </si>
  <si>
    <t>cst_wskakunin_owner8_NAME</t>
  </si>
  <si>
    <t>**wskakunin_owner8_NAME_KANA</t>
  </si>
  <si>
    <t>cst_wskakunin_owner8_NAME_KANA</t>
  </si>
  <si>
    <t>**wskakunin_owner8_ZIP</t>
  </si>
  <si>
    <t>cst_wskakunin_owner8_ZIP</t>
  </si>
  <si>
    <t>**wskakunin_owner8__address</t>
  </si>
  <si>
    <t>cst_wskakunin_owner8__address</t>
  </si>
  <si>
    <t>**wskakunin_owner8_TEL</t>
  </si>
  <si>
    <t>cst_wskakunin_owner8_TEL</t>
  </si>
  <si>
    <t>**wskakunin_owner9_JIMU_NAME</t>
  </si>
  <si>
    <t>cst_wskakunin_owner9_JIMU_NAME</t>
  </si>
  <si>
    <t>**wskakunin_owner9_JIMU_NAME_KANA</t>
  </si>
  <si>
    <t>cst_wskakunin_owner9_JIMU_NAME_KANA</t>
  </si>
  <si>
    <t>**wskakunin_owner9_POST</t>
  </si>
  <si>
    <t>cst_wskakunin_owner9_POST</t>
  </si>
  <si>
    <t>**wskakunin_owner9_POST_KANA</t>
  </si>
  <si>
    <t>cst_wskakunin_owner9_POST_KANA</t>
  </si>
  <si>
    <t>**wskakunin_owner9_NAME</t>
  </si>
  <si>
    <t>cst_wskakunin_owner9_NAME</t>
  </si>
  <si>
    <t>**wskakunin_owner9_NAME_KANA</t>
  </si>
  <si>
    <t>cst_wskakunin_owner9_NAME_KANA</t>
  </si>
  <si>
    <t>**wskakunin_owner9_ZIP</t>
  </si>
  <si>
    <t>cst_wskakunin_owner9_ZIP</t>
  </si>
  <si>
    <t>**wskakunin_owner9__address</t>
  </si>
  <si>
    <t>cst_wskakunin_owner9__address</t>
  </si>
  <si>
    <t>**wskakunin_owner9_TEL</t>
  </si>
  <si>
    <t>cst_wskakunin_owner9_TEL</t>
  </si>
  <si>
    <t>代理者2</t>
  </si>
  <si>
    <t>代理者3</t>
  </si>
  <si>
    <t>代理者4</t>
  </si>
  <si>
    <t>代理者5</t>
  </si>
  <si>
    <t>**wskakunin_dairi2__sikaku</t>
  </si>
  <si>
    <t>cst_wskakunin_dairi2__sikaku</t>
  </si>
  <si>
    <t>**wskakunin_dairi2_SIKAKU__label</t>
  </si>
  <si>
    <t>cst_wskakunin_dairi2_SIKAKU</t>
  </si>
  <si>
    <t>**wskakunin_dairi2_TOUROKU_KIKAN__label</t>
  </si>
  <si>
    <t>cst_wskakunin_dairi2_TOUROKU_KIKAN</t>
  </si>
  <si>
    <t>**wskakunin_dairi2_KENTIKUSI_NO</t>
  </si>
  <si>
    <t>cst_wskakunin_dairi2_KENTIKUSI_NO</t>
  </si>
  <si>
    <t>**wskakunin_dairi2_NAME</t>
  </si>
  <si>
    <t>cst_wskakunin_dairi2_NAME</t>
  </si>
  <si>
    <t>**wskakunin_dairi2_NAME_KANA</t>
  </si>
  <si>
    <t>cst_wskakunin_dairi2_NAME_KANA</t>
  </si>
  <si>
    <t>**wskakunin_dairi2_JIMU__sikaku</t>
  </si>
  <si>
    <t>cst_wskakunin_dairi2_JIMU__sikaku</t>
  </si>
  <si>
    <t>**wskakunin_dairi2_JIMU_SIKAKU__label</t>
  </si>
  <si>
    <t>cst_wskakunin_dairi2_JIMU_SIKAKU</t>
  </si>
  <si>
    <t>**wskakunin_dairi2_JIMU_TOUROKU_KIKAN__label</t>
  </si>
  <si>
    <t>cst_wskakunin_dairi2_JIMU_TOUROKU_KIKAN</t>
  </si>
  <si>
    <t>**wskakunin_dairi2_JIMU_NO</t>
  </si>
  <si>
    <t>cst_wskakunin_dairi2_JIMU_NO</t>
  </si>
  <si>
    <t>**wskakunin_dairi2_JIMU_NAME</t>
  </si>
  <si>
    <t>cst_wskakunin_dairi2_JIMU_NAME</t>
  </si>
  <si>
    <t>**wskakunin_dairi2_ZIP</t>
  </si>
  <si>
    <t>cst_wskakunin_dairi2_ZIP</t>
  </si>
  <si>
    <t>**wskakunin_dairi2__address</t>
  </si>
  <si>
    <t>cst_wskakunin_dairi2__address</t>
  </si>
  <si>
    <t>**wskakunin_dairi2_TEL</t>
  </si>
  <si>
    <t>cst_wskakunin_dairi2_TEL</t>
  </si>
  <si>
    <t>**wskakunin_dairi2_FAX</t>
  </si>
  <si>
    <t>cst_wskakunin_dairi2_FAX</t>
  </si>
  <si>
    <t>cst_wskakunin_dairi2__space</t>
  </si>
  <si>
    <t>**wskakunin_dairi3__sikaku</t>
  </si>
  <si>
    <t>cst_wskakunin_dairi3__sikaku</t>
  </si>
  <si>
    <t>**wskakunin_dairi3_SIKAKU__label</t>
  </si>
  <si>
    <t>cst_wskakunin_dairi3_SIKAKU</t>
  </si>
  <si>
    <t>**wskakunin_dairi3_TOUROKU_KIKAN__label</t>
  </si>
  <si>
    <t>cst_wskakunin_dairi3_TOUROKU_KIKAN</t>
  </si>
  <si>
    <t>**wskakunin_dairi3_KENTIKUSI_NO</t>
  </si>
  <si>
    <t>cst_wskakunin_dairi3_KENTIKUSI_NO</t>
  </si>
  <si>
    <t>**wskakunin_dairi3_NAME</t>
  </si>
  <si>
    <t>cst_wskakunin_dairi3_NAME</t>
  </si>
  <si>
    <t>**wskakunin_dairi3_NAME_KANA</t>
  </si>
  <si>
    <t>cst_wskakunin_dairi3_NAME_KANA</t>
  </si>
  <si>
    <t>**wskakunin_dairi3_JIMU__sikaku</t>
  </si>
  <si>
    <t>cst_wskakunin_dairi3_JIMU__sikaku</t>
  </si>
  <si>
    <t>**wskakunin_dairi3_JIMU_SIKAKU__label</t>
  </si>
  <si>
    <t>cst_wskakunin_dairi3_JIMU_SIKAKU</t>
  </si>
  <si>
    <t>**wskakunin_dairi3_JIMU_TOUROKU_KIKAN__label</t>
  </si>
  <si>
    <t>cst_wskakunin_dairi3_JIMU_TOUROKU_KIKAN</t>
  </si>
  <si>
    <t>**wskakunin_dairi3_JIMU_NO</t>
  </si>
  <si>
    <t>cst_wskakunin_dairi3_JIMU_NO</t>
  </si>
  <si>
    <t>**wskakunin_dairi3_JIMU_NAME</t>
  </si>
  <si>
    <t>cst_wskakunin_dairi3_JIMU_NAME</t>
  </si>
  <si>
    <t>**wskakunin_dairi3_ZIP</t>
  </si>
  <si>
    <t>cst_wskakunin_dairi3_ZIP</t>
  </si>
  <si>
    <t>**wskakunin_dairi3__address</t>
  </si>
  <si>
    <t>cst_wskakunin_dairi3__address</t>
  </si>
  <si>
    <t>**wskakunin_dairi3_TEL</t>
  </si>
  <si>
    <t>cst_wskakunin_dairi3_TEL</t>
  </si>
  <si>
    <t>**wskakunin_dairi3_FAX</t>
  </si>
  <si>
    <t>cst_wskakunin_dairi3_FAX</t>
  </si>
  <si>
    <t>cst_wskakunin_dairi3__space</t>
  </si>
  <si>
    <t>**wskakunin_dairi4__sikaku</t>
  </si>
  <si>
    <t>cst_wskakunin_dairi4__sikaku</t>
  </si>
  <si>
    <t>**wskakunin_dairi4_SIKAKU__label</t>
  </si>
  <si>
    <t>cst_wskakunin_dairi4_SIKAKU</t>
  </si>
  <si>
    <t>**wskakunin_dairi4_TOUROKU_KIKAN__label</t>
  </si>
  <si>
    <t>cst_wskakunin_dairi4_TOUROKU_KIKAN</t>
  </si>
  <si>
    <t>**wskakunin_dairi4_KENTIKUSI_NO</t>
  </si>
  <si>
    <t>cst_wskakunin_dairi4_KENTIKUSI_NO</t>
  </si>
  <si>
    <t>**wskakunin_dairi4_NAME</t>
  </si>
  <si>
    <t>cst_wskakunin_dairi4_NAME</t>
  </si>
  <si>
    <t>**wskakunin_dairi4_NAME_KANA</t>
  </si>
  <si>
    <t>cst_wskakunin_dairi4_NAME_KANA</t>
  </si>
  <si>
    <t>**wskakunin_dairi4_JIMU__sikaku</t>
  </si>
  <si>
    <t>cst_wskakunin_dairi4_JIMU__sikaku</t>
  </si>
  <si>
    <t>**wskakunin_dairi4_JIMU_SIKAKU__label</t>
  </si>
  <si>
    <t>cst_wskakunin_dairi4_JIMU_SIKAKU</t>
  </si>
  <si>
    <t>**wskakunin_dairi4_JIMU_TOUROKU_KIKAN__label</t>
  </si>
  <si>
    <t>cst_wskakunin_dairi4_JIMU_TOUROKU_KIKAN</t>
  </si>
  <si>
    <t>**wskakunin_dairi4_JIMU_NO</t>
  </si>
  <si>
    <t>cst_wskakunin_dairi4_JIMU_NO</t>
  </si>
  <si>
    <t>**wskakunin_dairi4_JIMU_NAME</t>
  </si>
  <si>
    <t>cst_wskakunin_dairi4_JIMU_NAME</t>
  </si>
  <si>
    <t>**wskakunin_dairi4_ZIP</t>
  </si>
  <si>
    <t>cst_wskakunin_dairi4_ZIP</t>
  </si>
  <si>
    <t>**wskakunin_dairi4__address</t>
  </si>
  <si>
    <t>cst_wskakunin_dairi4__address</t>
  </si>
  <si>
    <t>**wskakunin_dairi4_TEL</t>
  </si>
  <si>
    <t>cst_wskakunin_dairi4_TEL</t>
  </si>
  <si>
    <t>**wskakunin_dairi4_FAX</t>
  </si>
  <si>
    <t>cst_wskakunin_dairi4_FAX</t>
  </si>
  <si>
    <t>cst_wskakunin_dairi4__space</t>
  </si>
  <si>
    <t>**wskakunin_dairi5__sikaku</t>
  </si>
  <si>
    <t>cst_wskakunin_dairi5__sikaku</t>
  </si>
  <si>
    <t>**wskakunin_dairi5_SIKAKU__label</t>
  </si>
  <si>
    <t>cst_wskakunin_dairi5_SIKAKU</t>
  </si>
  <si>
    <t>**wskakunin_dairi5_TOUROKU_KIKAN__label</t>
  </si>
  <si>
    <t>cst_wskakunin_dairi5_TOUROKU_KIKAN</t>
  </si>
  <si>
    <t>**wskakunin_dairi5_KENTIKUSI_NO</t>
  </si>
  <si>
    <t>cst_wskakunin_dairi5_KENTIKUSI_NO</t>
  </si>
  <si>
    <t>**wskakunin_dairi5_NAME</t>
  </si>
  <si>
    <t>cst_wskakunin_dairi5_NAME</t>
  </si>
  <si>
    <t>**wskakunin_dairi5_NAME_KANA</t>
  </si>
  <si>
    <t>cst_wskakunin_dairi5_NAME_KANA</t>
  </si>
  <si>
    <t>**wskakunin_dairi5_JIMU__sikaku</t>
  </si>
  <si>
    <t>cst_wskakunin_dairi5_JIMU__sikaku</t>
  </si>
  <si>
    <t>**wskakunin_dairi5_JIMU_SIKAKU__label</t>
  </si>
  <si>
    <t>cst_wskakunin_dairi5_JIMU_SIKAKU</t>
  </si>
  <si>
    <t>**wskakunin_dairi5_JIMU_TOUROKU_KIKAN__label</t>
  </si>
  <si>
    <t>cst_wskakunin_dairi5_JIMU_TOUROKU_KIKAN</t>
  </si>
  <si>
    <t>**wskakunin_dairi5_JIMU_NO</t>
  </si>
  <si>
    <t>cst_wskakunin_dairi5_JIMU_NO</t>
  </si>
  <si>
    <t>**wskakunin_dairi5_JIMU_NAME</t>
  </si>
  <si>
    <t>cst_wskakunin_dairi5_JIMU_NAME</t>
  </si>
  <si>
    <t>**wskakunin_dairi5_ZIP</t>
  </si>
  <si>
    <t>cst_wskakunin_dairi5_ZIP</t>
  </si>
  <si>
    <t>**wskakunin_dairi5__address</t>
  </si>
  <si>
    <t>cst_wskakunin_dairi5__address</t>
  </si>
  <si>
    <t>**wskakunin_dairi5_TEL</t>
  </si>
  <si>
    <t>cst_wskakunin_dairi5_TEL</t>
  </si>
  <si>
    <t>**wskakunin_dairi5_FAX</t>
  </si>
  <si>
    <t>cst_wskakunin_dairi5_FAX</t>
  </si>
  <si>
    <t>cst_wskakunin_dairi5__space</t>
  </si>
  <si>
    <t>設計者5</t>
  </si>
  <si>
    <t>**wskakunin_sekkei5__sikaku</t>
  </si>
  <si>
    <t>cst_wskakunin_sekkei5__sikaku</t>
  </si>
  <si>
    <t>**wskakunin_sekkei5_SIKAKU__label</t>
  </si>
  <si>
    <t>cst_wskakunin_sekkei5_SIKAKU</t>
  </si>
  <si>
    <t>**wskakunin_sekkei5_TOUROKU_KIKAN__label</t>
  </si>
  <si>
    <t>cst_wskakunin_sekkei5_TOUROKU_KIKAN</t>
  </si>
  <si>
    <t>**wskakunin_sekkei5_KENTIKUSI_NO</t>
  </si>
  <si>
    <t>cst_wskakunin_sekkei5_KENTIKUSI_NO</t>
  </si>
  <si>
    <t>**wskakunin_sekkei5_NAME</t>
  </si>
  <si>
    <t>cst_wskakunin_sekkei5_NAME</t>
  </si>
  <si>
    <t>**wskakunin_sekkei5_JIMU__sikaku</t>
  </si>
  <si>
    <t>cst_wskakunin_sekkei5_JIMU__sikaku</t>
  </si>
  <si>
    <t>**wskakunin_sekkei5_JIMU_SIKAKU__label</t>
  </si>
  <si>
    <t>cst_wskakunin_sekkei5_JIMU_SIKAKU</t>
  </si>
  <si>
    <t>**wskakunin_sekkei5_JIMU_TOUROKU_KIKAN__label</t>
  </si>
  <si>
    <t>cst_wskakunin_sekkei5_JIMU_TOUROKU_KIKAN</t>
  </si>
  <si>
    <t>**wskakunin_sekkei5_JIMU_NO</t>
  </si>
  <si>
    <t>cst_wskakunin_sekkei5_JIMU_NO</t>
  </si>
  <si>
    <t>**wskakunin_sekkei5_JIMU_NAME</t>
  </si>
  <si>
    <t>cst_wskakunin_sekkei5_JIMU_NAME</t>
  </si>
  <si>
    <t>cst_wskakunin_sekkei5_jimuname_name</t>
  </si>
  <si>
    <t>**wskakunin_sekkei5_ZIP</t>
  </si>
  <si>
    <t>cst_wskakunin_sekkei5_ZIP</t>
  </si>
  <si>
    <t>**wskakunin_sekkei5__address</t>
  </si>
  <si>
    <t>cst_wskakunin_sekkei5__address</t>
  </si>
  <si>
    <t>**wskakunin_sekkei5_TEL</t>
  </si>
  <si>
    <t>cst_wskakunin_sekkei5_TEL</t>
  </si>
  <si>
    <t>**wskakunin_sekkei5_DOC</t>
  </si>
  <si>
    <t>cst_wskakunin_sekkei5_DOC</t>
  </si>
  <si>
    <t>**wskakunin_sekkei6__sikaku</t>
  </si>
  <si>
    <t>cst_wskakunin_sekkei6__sikaku</t>
  </si>
  <si>
    <t>**wskakunin_sekkei6_SIKAKU__label</t>
  </si>
  <si>
    <t>cst_wskakunin_sekkei6_SIKAKU</t>
  </si>
  <si>
    <t>**wskakunin_sekkei6_TOUROKU_KIKAN__label</t>
  </si>
  <si>
    <t>cst_wskakunin_sekkei6_TOUROKU_KIKAN</t>
  </si>
  <si>
    <t>**wskakunin_sekkei6_KENTIKUSI_NO</t>
  </si>
  <si>
    <t>cst_wskakunin_sekkei6_KENTIKUSI_NO</t>
  </si>
  <si>
    <t>**wskakunin_sekkei6_NAME</t>
  </si>
  <si>
    <t>cst_wskakunin_sekkei6_NAME</t>
  </si>
  <si>
    <t>**wskakunin_sekkei6_JIMU__sikaku</t>
  </si>
  <si>
    <t>cst_wskakunin_sekkei6_JIMU__sikaku</t>
  </si>
  <si>
    <t>**wskakunin_sekkei6_JIMU_SIKAKU__label</t>
  </si>
  <si>
    <t>cst_wskakunin_sekkei6_JIMU_SIKAKU</t>
  </si>
  <si>
    <t>**wskakunin_sekkei6_JIMU_TOUROKU_KIKAN__label</t>
  </si>
  <si>
    <t>cst_wskakunin_sekkei6_JIMU_TOUROKU_KIKAN</t>
  </si>
  <si>
    <t>**wskakunin_sekkei6_JIMU_NO</t>
  </si>
  <si>
    <t>cst_wskakunin_sekkei6_JIMU_NO</t>
  </si>
  <si>
    <t>**wskakunin_sekkei6_JIMU_NAME</t>
  </si>
  <si>
    <t>cst_wskakunin_sekkei6_JIMU_NAME</t>
  </si>
  <si>
    <t>cst_wskakunin_sekkei6_jimuname_name</t>
  </si>
  <si>
    <t>**wskakunin_sekkei6_ZIP</t>
  </si>
  <si>
    <t>cst_wskakunin_sekkei6_ZIP</t>
  </si>
  <si>
    <t>**wskakunin_sekkei6__address</t>
  </si>
  <si>
    <t>cst_wskakunin_sekkei6__address</t>
  </si>
  <si>
    <t>**wskakunin_sekkei6_TEL</t>
  </si>
  <si>
    <t>cst_wskakunin_sekkei6_TEL</t>
  </si>
  <si>
    <t>**wskakunin_sekkei6_DOC</t>
  </si>
  <si>
    <t>cst_wskakunin_sekkei6_DOC</t>
  </si>
  <si>
    <t>**wskakunin_sekkei7__sikaku</t>
  </si>
  <si>
    <t>cst_wskakunin_sekkei7__sikaku</t>
  </si>
  <si>
    <t>**wskakunin_sekkei7_SIKAKU__label</t>
  </si>
  <si>
    <t>cst_wskakunin_sekkei7_SIKAKU</t>
  </si>
  <si>
    <t>**wskakunin_sekkei7_TOUROKU_KIKAN__label</t>
  </si>
  <si>
    <t>cst_wskakunin_sekkei7_TOUROKU_KIKAN</t>
  </si>
  <si>
    <t>**wskakunin_sekkei7_KENTIKUSI_NO</t>
  </si>
  <si>
    <t>cst_wskakunin_sekkei7_KENTIKUSI_NO</t>
  </si>
  <si>
    <t>**wskakunin_sekkei7_NAME</t>
  </si>
  <si>
    <t>cst_wskakunin_sekkei7_NAME</t>
  </si>
  <si>
    <t>**wskakunin_sekkei7_JIMU__sikaku</t>
  </si>
  <si>
    <t>cst_wskakunin_sekkei7_JIMU__sikaku</t>
  </si>
  <si>
    <t>**wskakunin_sekkei7_JIMU_SIKAKU__label</t>
  </si>
  <si>
    <t>cst_wskakunin_sekkei7_JIMU_SIKAKU</t>
  </si>
  <si>
    <t>**wskakunin_sekkei7_JIMU_TOUROKU_KIKAN__label</t>
  </si>
  <si>
    <t>cst_wskakunin_sekkei7_JIMU_TOUROKU_KIKAN</t>
  </si>
  <si>
    <t>**wskakunin_sekkei7_JIMU_NO</t>
  </si>
  <si>
    <t>cst_wskakunin_sekkei7_JIMU_NO</t>
  </si>
  <si>
    <t>**wskakunin_sekkei7_JIMU_NAME</t>
  </si>
  <si>
    <t>cst_wskakunin_sekkei7_JIMU_NAME</t>
  </si>
  <si>
    <t>cst_wskakunin_sekkei7_jimuname_name</t>
  </si>
  <si>
    <t>**wskakunin_sekkei7_ZIP</t>
  </si>
  <si>
    <t>cst_wskakunin_sekkei7_ZIP</t>
  </si>
  <si>
    <t>**wskakunin_sekkei7__address</t>
  </si>
  <si>
    <t>cst_wskakunin_sekkei7__address</t>
  </si>
  <si>
    <t>**wskakunin_sekkei7_TEL</t>
  </si>
  <si>
    <t>cst_wskakunin_sekkei7_TEL</t>
  </si>
  <si>
    <t>**wskakunin_sekkei7_DOC</t>
  </si>
  <si>
    <t>cst_wskakunin_sekkei7_DOC</t>
  </si>
  <si>
    <t>**wskakunin_sekkei8__sikaku</t>
  </si>
  <si>
    <t>cst_wskakunin_sekkei8__sikaku</t>
  </si>
  <si>
    <t>**wskakunin_sekkei8_SIKAKU__label</t>
  </si>
  <si>
    <t>cst_wskakunin_sekkei8_SIKAKU</t>
  </si>
  <si>
    <t>**wskakunin_sekkei8_TOUROKU_KIKAN__label</t>
  </si>
  <si>
    <t>cst_wskakunin_sekkei8_TOUROKU_KIKAN</t>
  </si>
  <si>
    <t>**wskakunin_sekkei8_KENTIKUSI_NO</t>
  </si>
  <si>
    <t>cst_wskakunin_sekkei8_KENTIKUSI_NO</t>
  </si>
  <si>
    <t>**wskakunin_sekkei8_NAME</t>
  </si>
  <si>
    <t>cst_wskakunin_sekkei8_NAME</t>
  </si>
  <si>
    <t>**wskakunin_sekkei8_JIMU__sikaku</t>
  </si>
  <si>
    <t>cst_wskakunin_sekkei8_JIMU__sikaku</t>
  </si>
  <si>
    <t>**wskakunin_sekkei8_JIMU_SIKAKU__label</t>
  </si>
  <si>
    <t>cst_wskakunin_sekkei8_JIMU_SIKAKU</t>
  </si>
  <si>
    <t>**wskakunin_sekkei8_JIMU_TOUROKU_KIKAN__label</t>
  </si>
  <si>
    <t>cst_wskakunin_sekkei8_JIMU_TOUROKU_KIKAN</t>
  </si>
  <si>
    <t>**wskakunin_sekkei8_JIMU_NO</t>
  </si>
  <si>
    <t>cst_wskakunin_sekkei8_JIMU_NO</t>
  </si>
  <si>
    <t>**wskakunin_sekkei8_JIMU_NAME</t>
  </si>
  <si>
    <t>cst_wskakunin_sekkei8_JIMU_NAME</t>
  </si>
  <si>
    <t>cst_wskakunin_sekkei8_jimuname_name</t>
  </si>
  <si>
    <t>**wskakunin_sekkei8_ZIP</t>
  </si>
  <si>
    <t>cst_wskakunin_sekkei8_ZIP</t>
  </si>
  <si>
    <t>**wskakunin_sekkei8__address</t>
  </si>
  <si>
    <t>cst_wskakunin_sekkei8__address</t>
  </si>
  <si>
    <t>**wskakunin_sekkei8_TEL</t>
  </si>
  <si>
    <t>cst_wskakunin_sekkei8_TEL</t>
  </si>
  <si>
    <t>**wskakunin_sekkei8_DOC</t>
  </si>
  <si>
    <t>cst_wskakunin_sekkei8_DOC</t>
  </si>
  <si>
    <t>**wskakunin_sekkei9__sikaku</t>
  </si>
  <si>
    <t>cst_wskakunin_sekkei9__sikaku</t>
  </si>
  <si>
    <t>**wskakunin_sekkei9_SIKAKU__label</t>
  </si>
  <si>
    <t>cst_wskakunin_sekkei9_SIKAKU</t>
  </si>
  <si>
    <t>**wskakunin_sekkei9_TOUROKU_KIKAN__label</t>
  </si>
  <si>
    <t>cst_wskakunin_sekkei9_TOUROKU_KIKAN</t>
  </si>
  <si>
    <t>**wskakunin_sekkei9_KENTIKUSI_NO</t>
  </si>
  <si>
    <t>cst_wskakunin_sekkei9_KENTIKUSI_NO</t>
  </si>
  <si>
    <t>**wskakunin_sekkei9_NAME</t>
  </si>
  <si>
    <t>cst_wskakunin_sekkei9_NAME</t>
  </si>
  <si>
    <t>**wskakunin_sekkei9_JIMU__sikaku</t>
  </si>
  <si>
    <t>cst_wskakunin_sekkei9_JIMU__sikaku</t>
  </si>
  <si>
    <t>**wskakunin_sekkei9_JIMU_SIKAKU__label</t>
  </si>
  <si>
    <t>cst_wskakunin_sekkei9_JIMU_SIKAKU</t>
  </si>
  <si>
    <t>**wskakunin_sekkei9_JIMU_TOUROKU_KIKAN__label</t>
  </si>
  <si>
    <t>cst_wskakunin_sekkei9_JIMU_TOUROKU_KIKAN</t>
  </si>
  <si>
    <t>**wskakunin_sekkei9_JIMU_NO</t>
  </si>
  <si>
    <t>cst_wskakunin_sekkei9_JIMU_NO</t>
  </si>
  <si>
    <t>**wskakunin_sekkei9_JIMU_NAME</t>
  </si>
  <si>
    <t>cst_wskakunin_sekkei9_JIMU_NAME</t>
  </si>
  <si>
    <t>cst_wskakunin_sekkei9_jimuname_name</t>
  </si>
  <si>
    <t>**wskakunin_sekkei9_ZIP</t>
  </si>
  <si>
    <t>cst_wskakunin_sekkei9_ZIP</t>
  </si>
  <si>
    <t>**wskakunin_sekkei9__address</t>
  </si>
  <si>
    <t>cst_wskakunin_sekkei9__address</t>
  </si>
  <si>
    <t>**wskakunin_sekkei9_TEL</t>
  </si>
  <si>
    <t>cst_wskakunin_sekkei9_TEL</t>
  </si>
  <si>
    <t>**wskakunin_sekkei9_DOC</t>
  </si>
  <si>
    <t>cst_wskakunin_sekkei9_DOC</t>
  </si>
  <si>
    <t>**wskakunin_sekkei10__sikaku</t>
  </si>
  <si>
    <t>cst_wskakunin_sekkei10__sikaku</t>
  </si>
  <si>
    <t>**wskakunin_sekkei10_SIKAKU__label</t>
  </si>
  <si>
    <t>cst_wskakunin_sekkei10_SIKAKU</t>
  </si>
  <si>
    <t>**wskakunin_sekkei10_TOUROKU_KIKAN__label</t>
  </si>
  <si>
    <t>cst_wskakunin_sekkei10_TOUROKU_KIKAN</t>
  </si>
  <si>
    <t>**wskakunin_sekkei10_KENTIKUSI_NO</t>
  </si>
  <si>
    <t>cst_wskakunin_sekkei10_KENTIKUSI_NO</t>
  </si>
  <si>
    <t>**wskakunin_sekkei10_NAME</t>
  </si>
  <si>
    <t>cst_wskakunin_sekkei10_NAME</t>
  </si>
  <si>
    <t>**wskakunin_sekkei10_JIMU__sikaku</t>
  </si>
  <si>
    <t>cst_wskakunin_sekkei10_JIMU__sikaku</t>
  </si>
  <si>
    <t>**wskakunin_sekkei10_JIMU_SIKAKU__label</t>
  </si>
  <si>
    <t>cst_wskakunin_sekkei10_JIMU_SIKAKU</t>
  </si>
  <si>
    <t>**wskakunin_sekkei10_JIMU_TOUROKU_KIKAN__label</t>
  </si>
  <si>
    <t>cst_wskakunin_sekkei10_JIMU_TOUROKU_KIKAN</t>
  </si>
  <si>
    <t>**wskakunin_sekkei10_JIMU_NO</t>
  </si>
  <si>
    <t>cst_wskakunin_sekkei10_JIMU_NO</t>
  </si>
  <si>
    <t>**wskakunin_sekkei10_JIMU_NAME</t>
  </si>
  <si>
    <t>cst_wskakunin_sekkei10_JIMU_NAME</t>
  </si>
  <si>
    <t>cst_wskakunin_sekkei10_jimuname_name</t>
  </si>
  <si>
    <t>**wskakunin_sekkei10_ZIP</t>
  </si>
  <si>
    <t>cst_wskakunin_sekkei10_ZIP</t>
  </si>
  <si>
    <t>**wskakunin_sekkei10__address</t>
  </si>
  <si>
    <t>cst_wskakunin_sekkei10__address</t>
  </si>
  <si>
    <t>**wskakunin_sekkei10_TEL</t>
  </si>
  <si>
    <t>cst_wskakunin_sekkei10_TEL</t>
  </si>
  <si>
    <t>**wskakunin_sekkei10_DOC</t>
  </si>
  <si>
    <t>cst_wskakunin_sekkei10_DOC</t>
  </si>
  <si>
    <t>**wskakunin_sekkei11__sikaku</t>
  </si>
  <si>
    <t>cst_wskakunin_sekkei11__sikaku</t>
  </si>
  <si>
    <t>**wskakunin_sekkei11_SIKAKU__label</t>
  </si>
  <si>
    <t>cst_wskakunin_sekkei11_SIKAKU</t>
  </si>
  <si>
    <t>**wskakunin_sekkei11_TOUROKU_KIKAN__label</t>
  </si>
  <si>
    <t>cst_wskakunin_sekkei11_TOUROKU_KIKAN</t>
  </si>
  <si>
    <t>**wskakunin_sekkei11_KENTIKUSI_NO</t>
  </si>
  <si>
    <t>cst_wskakunin_sekkei11_KENTIKUSI_NO</t>
  </si>
  <si>
    <t>**wskakunin_sekkei11_NAME</t>
  </si>
  <si>
    <t>cst_wskakunin_sekkei11_NAME</t>
  </si>
  <si>
    <t>**wskakunin_sekkei11_JIMU__sikaku</t>
  </si>
  <si>
    <t>cst_wskakunin_sekkei11_JIMU__sikaku</t>
  </si>
  <si>
    <t>**wskakunin_sekkei11_JIMU_SIKAKU__label</t>
  </si>
  <si>
    <t>cst_wskakunin_sekkei11_JIMU_SIKAKU</t>
  </si>
  <si>
    <t>**wskakunin_sekkei11_JIMU_TOUROKU_KIKAN__label</t>
  </si>
  <si>
    <t>cst_wskakunin_sekkei11_JIMU_TOUROKU_KIKAN</t>
  </si>
  <si>
    <t>**wskakunin_sekkei11_JIMU_NO</t>
  </si>
  <si>
    <t>cst_wskakunin_sekkei11_JIMU_NO</t>
  </si>
  <si>
    <t>**wskakunin_sekkei11_JIMU_NAME</t>
  </si>
  <si>
    <t>cst_wskakunin_sekkei11_JIMU_NAME</t>
  </si>
  <si>
    <t>cst_wskakunin_sekkei11_jimuname_name</t>
  </si>
  <si>
    <t>**wskakunin_sekkei11_ZIP</t>
  </si>
  <si>
    <t>cst_wskakunin_sekkei11_ZIP</t>
  </si>
  <si>
    <t>**wskakunin_sekkei11__address</t>
  </si>
  <si>
    <t>cst_wskakunin_sekkei11__address</t>
  </si>
  <si>
    <t>**wskakunin_sekkei11_TEL</t>
  </si>
  <si>
    <t>cst_wskakunin_sekkei11_TEL</t>
  </si>
  <si>
    <t>**wskakunin_sekkei11_DOC</t>
  </si>
  <si>
    <t>cst_wskakunin_sekkei11_DOC</t>
  </si>
  <si>
    <t>設計者11</t>
  </si>
  <si>
    <t>設計者6</t>
  </si>
  <si>
    <t>設計者7</t>
  </si>
  <si>
    <t>設計者8</t>
  </si>
  <si>
    <t>設計者9</t>
  </si>
  <si>
    <t>設計者10</t>
  </si>
  <si>
    <t>**wskakunin_kanri5__sikaku</t>
  </si>
  <si>
    <t>cst_wskakunin_kanri5__sikaku</t>
  </si>
  <si>
    <t>**wskakunin_kanri5_SIKAKU__label</t>
  </si>
  <si>
    <t>cst_wskakunin_kanri5_SIKAKU</t>
  </si>
  <si>
    <t>**wskakunin_kanri5_TOUROKU_KIKAN__label</t>
  </si>
  <si>
    <t>cst_wskakunin_kanri5_TOUROKU_KIKAN</t>
  </si>
  <si>
    <t>**wskakunin_kanri5_KENTIKUSI_NO</t>
  </si>
  <si>
    <t>cst_wskakunin_kanri5_KENTIKUSI_NO</t>
  </si>
  <si>
    <t>**wskakunin_kanri5_NAME</t>
  </si>
  <si>
    <t>cst_wskakunin_kanri5_NAME</t>
  </si>
  <si>
    <t>**wskakunin_kanri5_JIMU__sikaku</t>
  </si>
  <si>
    <t>cst_wskakunin_kanri5_JIMU__sikaku</t>
  </si>
  <si>
    <t>**wskakunin_kanri5_JIMU_SIKAKU__label</t>
  </si>
  <si>
    <t>cst_wskakunin_kanri5_JIMU_SIKAKU</t>
  </si>
  <si>
    <t>**wskakunin_kanri5_JIMU_TOUROKU_KIKAN__label</t>
  </si>
  <si>
    <t>cst_wskakunin_kanri5_JIMU_TOUROKU_KIKAN</t>
  </si>
  <si>
    <t>**wskakunin_kanri5_JIMU_NO</t>
  </si>
  <si>
    <t>cst_wskakunin_kanri5_JIMU_NO</t>
  </si>
  <si>
    <t>**wskakunin_kanri5_JIMU_NAME</t>
  </si>
  <si>
    <t>cst_wskakunin_kanri5_JIMU_NAME</t>
  </si>
  <si>
    <t>**wskakunin_kanri5_ZIP</t>
  </si>
  <si>
    <t>cst_wskakunin_kanri5_ZIP</t>
  </si>
  <si>
    <t>**wskakunin_kanri5__address</t>
  </si>
  <si>
    <t>cst_wskakunin_kanri5__address</t>
  </si>
  <si>
    <t>**wskakunin_kanri5_TEL</t>
  </si>
  <si>
    <t>cst_wskakunin_kanri5_TEL</t>
  </si>
  <si>
    <t>**wskakunin_kanri5_DOC</t>
  </si>
  <si>
    <t>cst_wskakunin_kanri5_DOC</t>
  </si>
  <si>
    <t>**wskakunin_kanri6__sikaku</t>
  </si>
  <si>
    <t>cst_wskakunin_kanri6__sikaku</t>
  </si>
  <si>
    <t>**wskakunin_kanri6_SIKAKU__label</t>
  </si>
  <si>
    <t>cst_wskakunin_kanri6_SIKAKU</t>
  </si>
  <si>
    <t>**wskakunin_kanri6_TOUROKU_KIKAN__label</t>
  </si>
  <si>
    <t>cst_wskakunin_kanri6_TOUROKU_KIKAN</t>
  </si>
  <si>
    <t>**wskakunin_kanri6_KENTIKUSI_NO</t>
  </si>
  <si>
    <t>cst_wskakunin_kanri6_KENTIKUSI_NO</t>
  </si>
  <si>
    <t>**wskakunin_kanri6_NAME</t>
  </si>
  <si>
    <t>cst_wskakunin_kanri6_NAME</t>
  </si>
  <si>
    <t>**wskakunin_kanri6_JIMU__sikaku</t>
  </si>
  <si>
    <t>cst_wskakunin_kanri6_JIMU__sikaku</t>
  </si>
  <si>
    <t>**wskakunin_kanri6_JIMU_SIKAKU__label</t>
  </si>
  <si>
    <t>cst_wskakunin_kanri6_JIMU_SIKAKU</t>
  </si>
  <si>
    <t>**wskakunin_kanri6_JIMU_TOUROKU_KIKAN__label</t>
  </si>
  <si>
    <t>cst_wskakunin_kanri6_JIMU_TOUROKU_KIKAN</t>
  </si>
  <si>
    <t>**wskakunin_kanri6_JIMU_NO</t>
  </si>
  <si>
    <t>cst_wskakunin_kanri6_JIMU_NO</t>
  </si>
  <si>
    <t>**wskakunin_kanri6_JIMU_NAME</t>
  </si>
  <si>
    <t>cst_wskakunin_kanri6_JIMU_NAME</t>
  </si>
  <si>
    <t>**wskakunin_kanri6_ZIP</t>
  </si>
  <si>
    <t>cst_wskakunin_kanri6_ZIP</t>
  </si>
  <si>
    <t>**wskakunin_kanri6__address</t>
  </si>
  <si>
    <t>cst_wskakunin_kanri6__address</t>
  </si>
  <si>
    <t>**wskakunin_kanri6_TEL</t>
  </si>
  <si>
    <t>cst_wskakunin_kanri6_TEL</t>
  </si>
  <si>
    <t>**wskakunin_kanri6_DOC</t>
  </si>
  <si>
    <t>cst_wskakunin_kanri6_DOC</t>
  </si>
  <si>
    <t>**wskakunin_kanri7__sikaku</t>
  </si>
  <si>
    <t>cst_wskakunin_kanri7__sikaku</t>
  </si>
  <si>
    <t>**wskakunin_kanri7_SIKAKU__label</t>
  </si>
  <si>
    <t>cst_wskakunin_kanri7_SIKAKU</t>
  </si>
  <si>
    <t>**wskakunin_kanri7_TOUROKU_KIKAN__label</t>
  </si>
  <si>
    <t>cst_wskakunin_kanri7_TOUROKU_KIKAN</t>
  </si>
  <si>
    <t>**wskakunin_kanri7_KENTIKUSI_NO</t>
  </si>
  <si>
    <t>cst_wskakunin_kanri7_KENTIKUSI_NO</t>
  </si>
  <si>
    <t>**wskakunin_kanri7_NAME</t>
  </si>
  <si>
    <t>cst_wskakunin_kanri7_NAME</t>
  </si>
  <si>
    <t>**wskakunin_kanri7_JIMU__sikaku</t>
  </si>
  <si>
    <t>cst_wskakunin_kanri7_JIMU__sikaku</t>
  </si>
  <si>
    <t>**wskakunin_kanri7_JIMU_SIKAKU__label</t>
  </si>
  <si>
    <t>cst_wskakunin_kanri7_JIMU_SIKAKU</t>
  </si>
  <si>
    <t>**wskakunin_kanri7_JIMU_TOUROKU_KIKAN__label</t>
  </si>
  <si>
    <t>cst_wskakunin_kanri7_JIMU_TOUROKU_KIKAN</t>
  </si>
  <si>
    <t>**wskakunin_kanri7_JIMU_NO</t>
  </si>
  <si>
    <t>cst_wskakunin_kanri7_JIMU_NO</t>
  </si>
  <si>
    <t>**wskakunin_kanri7_JIMU_NAME</t>
  </si>
  <si>
    <t>cst_wskakunin_kanri7_JIMU_NAME</t>
  </si>
  <si>
    <t>**wskakunin_kanri7_ZIP</t>
  </si>
  <si>
    <t>cst_wskakunin_kanri7_ZIP</t>
  </si>
  <si>
    <t>**wskakunin_kanri7__address</t>
  </si>
  <si>
    <t>cst_wskakunin_kanri7__address</t>
  </si>
  <si>
    <t>**wskakunin_kanri7_TEL</t>
  </si>
  <si>
    <t>cst_wskakunin_kanri7_TEL</t>
  </si>
  <si>
    <t>**wskakunin_kanri7_DOC</t>
  </si>
  <si>
    <t>cst_wskakunin_kanri7_DOC</t>
  </si>
  <si>
    <t>**wskakunin_kanri8__sikaku</t>
  </si>
  <si>
    <t>cst_wskakunin_kanri8__sikaku</t>
  </si>
  <si>
    <t>**wskakunin_kanri8_SIKAKU__label</t>
  </si>
  <si>
    <t>cst_wskakunin_kanri8_SIKAKU</t>
  </si>
  <si>
    <t>**wskakunin_kanri8_TOUROKU_KIKAN__label</t>
  </si>
  <si>
    <t>cst_wskakunin_kanri8_TOUROKU_KIKAN</t>
  </si>
  <si>
    <t>**wskakunin_kanri8_KENTIKUSI_NO</t>
  </si>
  <si>
    <t>cst_wskakunin_kanri8_KENTIKUSI_NO</t>
  </si>
  <si>
    <t>**wskakunin_kanri8_NAME</t>
  </si>
  <si>
    <t>cst_wskakunin_kanri8_NAME</t>
  </si>
  <si>
    <t>**wskakunin_kanri8_JIMU__sikaku</t>
  </si>
  <si>
    <t>cst_wskakunin_kanri8_JIMU__sikaku</t>
  </si>
  <si>
    <t>**wskakunin_kanri8_JIMU_SIKAKU__label</t>
  </si>
  <si>
    <t>cst_wskakunin_kanri8_JIMU_SIKAKU</t>
  </si>
  <si>
    <t>**wskakunin_kanri8_JIMU_TOUROKU_KIKAN__label</t>
  </si>
  <si>
    <t>cst_wskakunin_kanri8_JIMU_TOUROKU_KIKAN</t>
  </si>
  <si>
    <t>**wskakunin_kanri8_JIMU_NO</t>
  </si>
  <si>
    <t>cst_wskakunin_kanri8_JIMU_NO</t>
  </si>
  <si>
    <t>**wskakunin_kanri8_JIMU_NAME</t>
  </si>
  <si>
    <t>cst_wskakunin_kanri8_JIMU_NAME</t>
  </si>
  <si>
    <t>**wskakunin_kanri8_ZIP</t>
  </si>
  <si>
    <t>cst_wskakunin_kanri8_ZIP</t>
  </si>
  <si>
    <t>**wskakunin_kanri8__address</t>
  </si>
  <si>
    <t>cst_wskakunin_kanri8__address</t>
  </si>
  <si>
    <t>**wskakunin_kanri8_TEL</t>
  </si>
  <si>
    <t>cst_wskakunin_kanri8_TEL</t>
  </si>
  <si>
    <t>**wskakunin_kanri8_DOC</t>
  </si>
  <si>
    <t>cst_wskakunin_kanri8_DOC</t>
  </si>
  <si>
    <t>**wskakunin_kanri9__sikaku</t>
  </si>
  <si>
    <t>cst_wskakunin_kanri9__sikaku</t>
  </si>
  <si>
    <t>**wskakunin_kanri9_SIKAKU__label</t>
  </si>
  <si>
    <t>cst_wskakunin_kanri9_SIKAKU</t>
  </si>
  <si>
    <t>**wskakunin_kanri9_TOUROKU_KIKAN__label</t>
  </si>
  <si>
    <t>cst_wskakunin_kanri9_TOUROKU_KIKAN</t>
  </si>
  <si>
    <t>**wskakunin_kanri9_KENTIKUSI_NO</t>
  </si>
  <si>
    <t>cst_wskakunin_kanri9_KENTIKUSI_NO</t>
  </si>
  <si>
    <t>**wskakunin_kanri9_NAME</t>
  </si>
  <si>
    <t>cst_wskakunin_kanri9_NAME</t>
  </si>
  <si>
    <t>**wskakunin_kanri9_JIMU__sikaku</t>
  </si>
  <si>
    <t>cst_wskakunin_kanri9_JIMU__sikaku</t>
  </si>
  <si>
    <t>**wskakunin_kanri9_JIMU_SIKAKU__label</t>
  </si>
  <si>
    <t>cst_wskakunin_kanri9_JIMU_SIKAKU</t>
  </si>
  <si>
    <t>**wskakunin_kanri9_JIMU_TOUROKU_KIKAN__label</t>
  </si>
  <si>
    <t>cst_wskakunin_kanri9_JIMU_TOUROKU_KIKAN</t>
  </si>
  <si>
    <t>**wskakunin_kanri9_JIMU_NO</t>
  </si>
  <si>
    <t>cst_wskakunin_kanri9_JIMU_NO</t>
  </si>
  <si>
    <t>**wskakunin_kanri9_JIMU_NAME</t>
  </si>
  <si>
    <t>cst_wskakunin_kanri9_JIMU_NAME</t>
  </si>
  <si>
    <t>**wskakunin_kanri9_ZIP</t>
  </si>
  <si>
    <t>cst_wskakunin_kanri9_ZIP</t>
  </si>
  <si>
    <t>**wskakunin_kanri9__address</t>
  </si>
  <si>
    <t>cst_wskakunin_kanri9__address</t>
  </si>
  <si>
    <t>**wskakunin_kanri9_TEL</t>
  </si>
  <si>
    <t>cst_wskakunin_kanri9_TEL</t>
  </si>
  <si>
    <t>**wskakunin_kanri9_DOC</t>
  </si>
  <si>
    <t>cst_wskakunin_kanri9_DOC</t>
  </si>
  <si>
    <t>**wskakunin_kanri10__sikaku</t>
  </si>
  <si>
    <t>cst_wskakunin_kanri10__sikaku</t>
  </si>
  <si>
    <t>**wskakunin_kanri10_SIKAKU__label</t>
  </si>
  <si>
    <t>cst_wskakunin_kanri10_SIKAKU</t>
  </si>
  <si>
    <t>**wskakunin_kanri10_TOUROKU_KIKAN__label</t>
  </si>
  <si>
    <t>cst_wskakunin_kanri10_TOUROKU_KIKAN</t>
  </si>
  <si>
    <t>**wskakunin_kanri10_KENTIKUSI_NO</t>
  </si>
  <si>
    <t>cst_wskakunin_kanri10_KENTIKUSI_NO</t>
  </si>
  <si>
    <t>**wskakunin_kanri10_NAME</t>
  </si>
  <si>
    <t>cst_wskakunin_kanri10_NAME</t>
  </si>
  <si>
    <t>**wskakunin_kanri10_JIMU__sikaku</t>
  </si>
  <si>
    <t>cst_wskakunin_kanri10_JIMU__sikaku</t>
  </si>
  <si>
    <t>**wskakunin_kanri10_JIMU_SIKAKU__label</t>
  </si>
  <si>
    <t>cst_wskakunin_kanri10_JIMU_SIKAKU</t>
  </si>
  <si>
    <t>**wskakunin_kanri10_JIMU_TOUROKU_KIKAN__label</t>
  </si>
  <si>
    <t>cst_wskakunin_kanri10_JIMU_TOUROKU_KIKAN</t>
  </si>
  <si>
    <t>**wskakunin_kanri10_JIMU_NO</t>
  </si>
  <si>
    <t>cst_wskakunin_kanri10_JIMU_NO</t>
  </si>
  <si>
    <t>**wskakunin_kanri10_JIMU_NAME</t>
  </si>
  <si>
    <t>cst_wskakunin_kanri10_JIMU_NAME</t>
  </si>
  <si>
    <t>**wskakunin_kanri10_ZIP</t>
  </si>
  <si>
    <t>cst_wskakunin_kanri10_ZIP</t>
  </si>
  <si>
    <t>**wskakunin_kanri10__address</t>
  </si>
  <si>
    <t>cst_wskakunin_kanri10__address</t>
  </si>
  <si>
    <t>**wskakunin_kanri10_TEL</t>
  </si>
  <si>
    <t>cst_wskakunin_kanri10_TEL</t>
  </si>
  <si>
    <t>**wskakunin_kanri10_DOC</t>
  </si>
  <si>
    <t>cst_wskakunin_kanri10_DOC</t>
  </si>
  <si>
    <t>**wskakunin_kanri11__sikaku</t>
  </si>
  <si>
    <t>cst_wskakunin_kanri11__sikaku</t>
  </si>
  <si>
    <t>**wskakunin_kanri11_SIKAKU__label</t>
  </si>
  <si>
    <t>cst_wskakunin_kanri11_SIKAKU</t>
  </si>
  <si>
    <t>**wskakunin_kanri11_TOUROKU_KIKAN__label</t>
  </si>
  <si>
    <t>cst_wskakunin_kanri11_TOUROKU_KIKAN</t>
  </si>
  <si>
    <t>**wskakunin_kanri11_KENTIKUSI_NO</t>
  </si>
  <si>
    <t>cst_wskakunin_kanri11_KENTIKUSI_NO</t>
  </si>
  <si>
    <t>**wskakunin_kanri11_NAME</t>
  </si>
  <si>
    <t>cst_wskakunin_kanri11_NAME</t>
  </si>
  <si>
    <t>**wskakunin_kanri11_JIMU__sikaku</t>
  </si>
  <si>
    <t>cst_wskakunin_kanri11_JIMU__sikaku</t>
  </si>
  <si>
    <t>**wskakunin_kanri11_JIMU_SIKAKU__label</t>
  </si>
  <si>
    <t>cst_wskakunin_kanri11_JIMU_SIKAKU</t>
  </si>
  <si>
    <t>**wskakunin_kanri11_JIMU_TOUROKU_KIKAN__label</t>
  </si>
  <si>
    <t>cst_wskakunin_kanri11_JIMU_TOUROKU_KIKAN</t>
  </si>
  <si>
    <t>**wskakunin_kanri11_JIMU_NO</t>
  </si>
  <si>
    <t>cst_wskakunin_kanri11_JIMU_NO</t>
  </si>
  <si>
    <t>**wskakunin_kanri11_JIMU_NAME</t>
  </si>
  <si>
    <t>cst_wskakunin_kanri11_JIMU_NAME</t>
  </si>
  <si>
    <t>**wskakunin_kanri11_ZIP</t>
  </si>
  <si>
    <t>cst_wskakunin_kanri11_ZIP</t>
  </si>
  <si>
    <t>**wskakunin_kanri11__address</t>
  </si>
  <si>
    <t>cst_wskakunin_kanri11__address</t>
  </si>
  <si>
    <t>**wskakunin_kanri11_TEL</t>
  </si>
  <si>
    <t>cst_wskakunin_kanri11_TEL</t>
  </si>
  <si>
    <t>**wskakunin_kanri11_DOC</t>
  </si>
  <si>
    <t>cst_wskakunin_kanri11_DOC</t>
  </si>
  <si>
    <t>監理者5</t>
  </si>
  <si>
    <t>監理者6</t>
  </si>
  <si>
    <t>監理者7</t>
  </si>
  <si>
    <t>監理者8</t>
  </si>
  <si>
    <t>監理者9</t>
  </si>
  <si>
    <t>監理者10</t>
  </si>
  <si>
    <t>監理者11</t>
  </si>
  <si>
    <t>**wskakunin_sekou2_NAME</t>
  </si>
  <si>
    <t>cst_wskakunin_sekou2_NAME</t>
  </si>
  <si>
    <t>**wskakunin_sekou2_SEKOU__sikaku</t>
  </si>
  <si>
    <t>cst_wskakunin_sekou2_SEKOU__sikaku</t>
  </si>
  <si>
    <t>**wskakunin_sekou2_SEKOU_SIKAKU__label</t>
  </si>
  <si>
    <t>cst_wskakunin_sekou2_SEKOU_SIKAKU</t>
  </si>
  <si>
    <t>**wskakunin_sekou2_SEKOU_NO</t>
  </si>
  <si>
    <t>cst_wskakunin_sekou2_SEKOU_NO</t>
  </si>
  <si>
    <t>**wskakunin_sekou2_JIMU_NAME</t>
  </si>
  <si>
    <t>cst_wskakunin_sekou2_JIMU_NAME</t>
  </si>
  <si>
    <t>**wskakunin_sekou2_ZIP</t>
  </si>
  <si>
    <t>cst_wskakunin_sekou2_ZIP</t>
  </si>
  <si>
    <t>**wskakunin_sekou2__address</t>
  </si>
  <si>
    <t>cst_wskakunin_sekou2__address</t>
  </si>
  <si>
    <t>**wskakunin_sekou2_TEL</t>
  </si>
  <si>
    <t>cst_wskakunin_sekou2_TEL</t>
  </si>
  <si>
    <t>**wskakunin_sekou3_NAME</t>
  </si>
  <si>
    <t>cst_wskakunin_sekou3_NAME</t>
  </si>
  <si>
    <t>**wskakunin_sekou3_SEKOU__sikaku</t>
  </si>
  <si>
    <t>cst_wskakunin_sekou3_SEKOU__sikaku</t>
  </si>
  <si>
    <t>**wskakunin_sekou3_SEKOU_SIKAKU__label</t>
  </si>
  <si>
    <t>cst_wskakunin_sekou3_SEKOU_SIKAKU</t>
  </si>
  <si>
    <t>**wskakunin_sekou3_SEKOU_NO</t>
  </si>
  <si>
    <t>cst_wskakunin_sekou3_SEKOU_NO</t>
  </si>
  <si>
    <t>**wskakunin_sekou3_JIMU_NAME</t>
  </si>
  <si>
    <t>cst_wskakunin_sekou3_JIMU_NAME</t>
  </si>
  <si>
    <t>**wskakunin_sekou3_ZIP</t>
  </si>
  <si>
    <t>cst_wskakunin_sekou3_ZIP</t>
  </si>
  <si>
    <t>**wskakunin_sekou3__address</t>
  </si>
  <si>
    <t>cst_wskakunin_sekou3__address</t>
  </si>
  <si>
    <t>**wskakunin_sekou3_TEL</t>
  </si>
  <si>
    <t>cst_wskakunin_sekou3_TEL</t>
  </si>
  <si>
    <t>**wskakunin_sekou4_NAME</t>
  </si>
  <si>
    <t>cst_wskakunin_sekou4_NAME</t>
  </si>
  <si>
    <t>**wskakunin_sekou4_SEKOU__sikaku</t>
  </si>
  <si>
    <t>cst_wskakunin_sekou4_SEKOU__sikaku</t>
  </si>
  <si>
    <t>**wskakunin_sekou4_SEKOU_SIKAKU__label</t>
  </si>
  <si>
    <t>cst_wskakunin_sekou4_SEKOU_SIKAKU</t>
  </si>
  <si>
    <t>**wskakunin_sekou4_SEKOU_NO</t>
  </si>
  <si>
    <t>cst_wskakunin_sekou4_SEKOU_NO</t>
  </si>
  <si>
    <t>**wskakunin_sekou4_JIMU_NAME</t>
  </si>
  <si>
    <t>cst_wskakunin_sekou4_JIMU_NAME</t>
  </si>
  <si>
    <t>**wskakunin_sekou4_ZIP</t>
  </si>
  <si>
    <t>cst_wskakunin_sekou4_ZIP</t>
  </si>
  <si>
    <t>**wskakunin_sekou4__address</t>
  </si>
  <si>
    <t>cst_wskakunin_sekou4__address</t>
  </si>
  <si>
    <t>**wskakunin_sekou4_TEL</t>
  </si>
  <si>
    <t>cst_wskakunin_sekou4_TEL</t>
  </si>
  <si>
    <t>**wskakunin_sekou5_NAME</t>
  </si>
  <si>
    <t>cst_wskakunin_sekou5_NAME</t>
  </si>
  <si>
    <t>**wskakunin_sekou5_SEKOU__sikaku</t>
  </si>
  <si>
    <t>cst_wskakunin_sekou5_SEKOU__sikaku</t>
  </si>
  <si>
    <t>**wskakunin_sekou5_SEKOU_SIKAKU__label</t>
  </si>
  <si>
    <t>cst_wskakunin_sekou5_SEKOU_SIKAKU</t>
  </si>
  <si>
    <t>**wskakunin_sekou5_SEKOU_NO</t>
  </si>
  <si>
    <t>cst_wskakunin_sekou5_SEKOU_NO</t>
  </si>
  <si>
    <t>**wskakunin_sekou5_JIMU_NAME</t>
  </si>
  <si>
    <t>cst_wskakunin_sekou5_JIMU_NAME</t>
  </si>
  <si>
    <t>**wskakunin_sekou5_ZIP</t>
  </si>
  <si>
    <t>cst_wskakunin_sekou5_ZIP</t>
  </si>
  <si>
    <t>**wskakunin_sekou5__address</t>
  </si>
  <si>
    <t>cst_wskakunin_sekou5__address</t>
  </si>
  <si>
    <t>**wskakunin_sekou5_TEL</t>
  </si>
  <si>
    <t>cst_wskakunin_sekou5_TEL</t>
  </si>
  <si>
    <t>**wskakunin_sekou6_NAME</t>
  </si>
  <si>
    <t>cst_wskakunin_sekou6_NAME</t>
  </si>
  <si>
    <t>**wskakunin_sekou6_SEKOU__sikaku</t>
  </si>
  <si>
    <t>cst_wskakunin_sekou6_SEKOU__sikaku</t>
  </si>
  <si>
    <t>**wskakunin_sekou6_SEKOU_SIKAKU__label</t>
  </si>
  <si>
    <t>cst_wskakunin_sekou6_SEKOU_SIKAKU</t>
  </si>
  <si>
    <t>**wskakunin_sekou6_SEKOU_NO</t>
  </si>
  <si>
    <t>cst_wskakunin_sekou6_SEKOU_NO</t>
  </si>
  <si>
    <t>**wskakunin_sekou6_JIMU_NAME</t>
  </si>
  <si>
    <t>cst_wskakunin_sekou6_JIMU_NAME</t>
  </si>
  <si>
    <t>**wskakunin_sekou6_ZIP</t>
  </si>
  <si>
    <t>cst_wskakunin_sekou6_ZIP</t>
  </si>
  <si>
    <t>**wskakunin_sekou6__address</t>
  </si>
  <si>
    <t>cst_wskakunin_sekou6__address</t>
  </si>
  <si>
    <t>**wskakunin_sekou6_TEL</t>
  </si>
  <si>
    <t>cst_wskakunin_sekou6_TEL</t>
  </si>
  <si>
    <t>施工者2</t>
  </si>
  <si>
    <t>施工者3</t>
  </si>
  <si>
    <t>施工者4</t>
  </si>
  <si>
    <t>施工者5</t>
  </si>
  <si>
    <t>施工者6</t>
  </si>
  <si>
    <t>wskakunin_keibi_henkou01_</t>
  </si>
  <si>
    <t>**wskakunin_keibi_henkou01_HENKOU_SYURUI</t>
  </si>
  <si>
    <t>**wskakunin_keibi_henkou01_HENKOU_GAIYOU</t>
  </si>
  <si>
    <t>**wskakunin_sekkei12__sikaku</t>
  </si>
  <si>
    <t>cst_wskakunin_sekkei12__sikaku</t>
  </si>
  <si>
    <t>**wskakunin_sekkei12_SIKAKU__label</t>
  </si>
  <si>
    <t>cst_wskakunin_sekkei12_SIKAKU</t>
  </si>
  <si>
    <t>**wskakunin_sekkei12_TOUROKU_KIKAN__label</t>
  </si>
  <si>
    <t>cst_wskakunin_sekkei12_TOUROKU_KIKAN</t>
  </si>
  <si>
    <t>**wskakunin_sekkei12_KENTIKUSI_NO</t>
  </si>
  <si>
    <t>cst_wskakunin_sekkei12_KENTIKUSI_NO</t>
  </si>
  <si>
    <t>**wskakunin_sekkei12_NAME</t>
  </si>
  <si>
    <t>cst_wskakunin_sekkei12_NAME</t>
  </si>
  <si>
    <t>**wskakunin_sekkei12_JIMU__sikaku</t>
  </si>
  <si>
    <t>cst_wskakunin_sekkei12_JIMU__sikaku</t>
  </si>
  <si>
    <t>**wskakunin_sekkei12_JIMU_SIKAKU__label</t>
  </si>
  <si>
    <t>cst_wskakunin_sekkei12_JIMU_SIKAKU</t>
  </si>
  <si>
    <t>**wskakunin_sekkei12_JIMU_TOUROKU_KIKAN__label</t>
  </si>
  <si>
    <t>cst_wskakunin_sekkei12_JIMU_TOUROKU_KIKAN</t>
  </si>
  <si>
    <t>**wskakunin_sekkei12_JIMU_NO</t>
  </si>
  <si>
    <t>cst_wskakunin_sekkei12_JIMU_NO</t>
  </si>
  <si>
    <t>**wskakunin_sekkei12_JIMU_NAME</t>
  </si>
  <si>
    <t>cst_wskakunin_sekkei12_JIMU_NAME</t>
  </si>
  <si>
    <t>cst_wskakunin_sekkei12_jimuname_name</t>
  </si>
  <si>
    <t>**wskakunin_sekkei12_ZIP</t>
  </si>
  <si>
    <t>cst_wskakunin_sekkei12_ZIP</t>
  </si>
  <si>
    <t>**wskakunin_sekkei12__address</t>
  </si>
  <si>
    <t>cst_wskakunin_sekkei12__address</t>
  </si>
  <si>
    <t>**wskakunin_sekkei12_TEL</t>
  </si>
  <si>
    <t>cst_wskakunin_sekkei12_TEL</t>
  </si>
  <si>
    <t>**wskakunin_sekkei12_DOC</t>
  </si>
  <si>
    <t>cst_wskakunin_sekkei12_DOC</t>
  </si>
  <si>
    <t>設計者12</t>
  </si>
  <si>
    <t>監理者12</t>
  </si>
  <si>
    <t>**wskakunin_kanri12__sikaku</t>
  </si>
  <si>
    <t>cst_wskakunin_kanri12__sikaku</t>
  </si>
  <si>
    <t>**wskakunin_kanri12_SIKAKU__label</t>
  </si>
  <si>
    <t>cst_wskakunin_kanri12_SIKAKU</t>
  </si>
  <si>
    <t>**wskakunin_kanri12_TOUROKU_KIKAN__label</t>
  </si>
  <si>
    <t>cst_wskakunin_kanri12_TOUROKU_KIKAN</t>
  </si>
  <si>
    <t>**wskakunin_kanri12_KENTIKUSI_NO</t>
  </si>
  <si>
    <t>cst_wskakunin_kanri12_KENTIKUSI_NO</t>
  </si>
  <si>
    <t>**wskakunin_kanri12_NAME</t>
  </si>
  <si>
    <t>cst_wskakunin_kanri12_NAME</t>
  </si>
  <si>
    <t>**wskakunin_kanri12_JIMU__sikaku</t>
  </si>
  <si>
    <t>cst_wskakunin_kanri12_JIMU__sikaku</t>
  </si>
  <si>
    <t>**wskakunin_kanri12_JIMU_SIKAKU__label</t>
  </si>
  <si>
    <t>cst_wskakunin_kanri12_JIMU_SIKAKU</t>
  </si>
  <si>
    <t>**wskakunin_kanri12_JIMU_TOUROKU_KIKAN__label</t>
  </si>
  <si>
    <t>cst_wskakunin_kanri12_JIMU_TOUROKU_KIKAN</t>
  </si>
  <si>
    <t>**wskakunin_kanri12_JIMU_NO</t>
  </si>
  <si>
    <t>cst_wskakunin_kanri12_JIMU_NO</t>
  </si>
  <si>
    <t>**wskakunin_kanri12_JIMU_NAME</t>
  </si>
  <si>
    <t>cst_wskakunin_kanri12_JIMU_NAME</t>
  </si>
  <si>
    <t>**wskakunin_kanri12_ZIP</t>
  </si>
  <si>
    <t>cst_wskakunin_kanri12_ZIP</t>
  </si>
  <si>
    <t>**wskakunin_kanri12__address</t>
  </si>
  <si>
    <t>cst_wskakunin_kanri12__address</t>
  </si>
  <si>
    <t>**wskakunin_kanri12_TEL</t>
  </si>
  <si>
    <t>cst_wskakunin_kanri12_TEL</t>
  </si>
  <si>
    <t>**wskakunin_kanri12_DOC</t>
  </si>
  <si>
    <t>cst_wskakunin_kanri12_DOC</t>
  </si>
  <si>
    <t>工事種別一括出力</t>
  </si>
  <si>
    <t>中間・完了のみ</t>
  </si>
  <si>
    <t>確認・計変のみ</t>
  </si>
  <si>
    <t>第二面 備考</t>
  </si>
  <si>
    <t>**wskakunin_P2_BIKOU</t>
  </si>
  <si>
    <t>cst_wskakunin_P2_BIKOU</t>
  </si>
  <si>
    <t>文字出力</t>
  </si>
  <si>
    <t>cst_wskakunin_TOKUREI_txt</t>
  </si>
  <si>
    <t>cst_wskakunin_KOUJI_SINTIKU_box</t>
  </si>
  <si>
    <t>cst_wskakunin_KOUJI_ZOUTIKU_box</t>
  </si>
  <si>
    <t>cst_wskakunin_KOUJI_KAITIKU_box</t>
  </si>
  <si>
    <t>cst_wskakunin_KOUJI_ITEN_box</t>
  </si>
  <si>
    <t>cst_wskakunin_KOUJI_YOUTOHENKOU_box</t>
  </si>
  <si>
    <t>cst_wskakunin_KOUJI_DAI_SYUUZEN_box</t>
  </si>
  <si>
    <t>cst_wskakunin_KOUJI_DAI_MOYOUGAE_box</t>
  </si>
  <si>
    <t>cst_wskakunin_KENTIKU_NINSYO_NO</t>
  </si>
  <si>
    <t>**wskakunin_KOUJI_TYAKUSYU_DATE</t>
  </si>
  <si>
    <t>**wskakunin_KOUJI_KANRYOU_DATE</t>
  </si>
  <si>
    <t>※ 確認時：出力しない</t>
  </si>
  <si>
    <t>※ 中間1枚目 - 確認時：特定工程2があれば出力</t>
  </si>
  <si>
    <t>select （ 1枚目と2枚目の処理が必要 ）</t>
  </si>
  <si>
    <t xml:space="preserve"> - 中間1枚目</t>
  </si>
  <si>
    <t xml:space="preserve"> - 中間2枚目</t>
  </si>
  <si>
    <t xml:space="preserve"> - 回数</t>
  </si>
  <si>
    <t xml:space="preserve"> - 【ｲ.特定工程】</t>
  </si>
  <si>
    <t xml:space="preserve"> - 【ﾛ.中間検査合格証交付者】</t>
  </si>
  <si>
    <t xml:space="preserve"> - 【ﾊ.中間検査合格証番号】</t>
  </si>
  <si>
    <t xml:space="preserve"> - 【ﾆ.交付年月日】</t>
  </si>
  <si>
    <t>確認時の中間申請書出力処理用</t>
  </si>
  <si>
    <t>確認時 - 特定工程1の入力あり</t>
  </si>
  <si>
    <t>確認時 - 特定工程2の入力あり</t>
  </si>
  <si>
    <t>確認時 - 特定工程3の入力あり</t>
  </si>
  <si>
    <t>cst_wskakunin_KOUJI_TYAKUSYU_DATE_select</t>
  </si>
  <si>
    <t>cst_wskakunin_KOUJI_KANRYOU_DATE_select</t>
  </si>
  <si>
    <t>cst_wskakunin_TOKUTEI_KOUTEI</t>
  </si>
  <si>
    <t>cst_wskakunin_TOKUTEI_KOUTEI_inter1</t>
  </si>
  <si>
    <t>cst_wskakunin_TOKUTEI_KOUTEI_inter2</t>
  </si>
  <si>
    <t>cst_wskakunin_TOKUTEI_KOUJI_KANRYOU_DATE_select</t>
  </si>
  <si>
    <t>cst_wskakunin_KENSA_YUKA_MENSEKI_select</t>
  </si>
  <si>
    <t>cst_wskakunin_koutei_izen01_KOUTEI_KAISUU</t>
  </si>
  <si>
    <t>cst_wskakunin_koutei_izen01_KOUTEI_TEXT</t>
  </si>
  <si>
    <t>cst_wskakunin_koutei_izen01_INTER_ISSUE_NAME</t>
  </si>
  <si>
    <t>cst_wskakunin_koutei_izen01_INTER_ISSUE_NO</t>
  </si>
  <si>
    <t>cst_wskakunin_koutei_izen01_INTER_ISSUE_DATE</t>
  </si>
  <si>
    <t>cst_wskakunin_koutei_izen01_KOUTEI_KAISUU_inter1</t>
  </si>
  <si>
    <t>cst_wskakunin_koutei_izen01_KOUTEI_TEXT_inter1</t>
  </si>
  <si>
    <t>cst_wskakunin_koutei_izen01_INTER_ISSUE_NO_inter1</t>
  </si>
  <si>
    <t>cst_wskakunin_koutei_izen01_INTER_ISSUE_DATE_inter1</t>
  </si>
  <si>
    <t>cst_wskakunin_koutei_izen01_INTER_ISSUE_NAME_inter1</t>
  </si>
  <si>
    <t>cst_wskakunin_koutei_izen01_KOUTEI_KAISUU_inter2</t>
  </si>
  <si>
    <t>cst_wskakunin_koutei_izen01_KOUTEI_TEXT_inter2</t>
  </si>
  <si>
    <t>cst_wskakunin_koutei_izen01_INTER_ISSUE_NAME_inter2</t>
  </si>
  <si>
    <t>cst_wskakunin_koutei_izen01_INTER_ISSUE_NO_inter2</t>
  </si>
  <si>
    <t>cst_wskakunin_koutei_izen01_INTER_ISSUE_DATE_inter2</t>
  </si>
  <si>
    <t>※ 確認時：特定工程1の入力があれば出力</t>
  </si>
  <si>
    <t>受付システムテーブルから取得した情報（受理後）</t>
  </si>
  <si>
    <t>**wskakunin_SHINSEI_DATE</t>
  </si>
  <si>
    <t>cst_wskakunin_koutei_izen02_KOUTEI_KAISUU</t>
  </si>
  <si>
    <t>cst_wskakunin_koutei_izen02_KOUTEI_TEXT</t>
  </si>
  <si>
    <t>cst_wskakunin_koutei_izen02_INTER_ISSUE_NAME</t>
  </si>
  <si>
    <t>cst_wskakunin_koutei_izen02_INTER_ISSUE_NO</t>
  </si>
  <si>
    <t>cst_wskakunin_koutei_izen02_INTER_ISSUE_DATE</t>
  </si>
  <si>
    <t>※ 中間2枚目 - 確認時：特定工程3があれば出力</t>
  </si>
  <si>
    <t xml:space="preserve"> - 【ﾛ.特定工程工事終了予定年月日】</t>
  </si>
  <si>
    <t>cst_wskakunin_koutei_ikou01_KOUTEI_KAISUU</t>
  </si>
  <si>
    <t>cst_wskakunin_koutei_ikou01_KOUTEI_TEXT</t>
  </si>
  <si>
    <t>cst_wskakunin_koutei_ikou01_KOUTEI_DATE</t>
  </si>
  <si>
    <t>cst_wskakunin_koutei_ikou01_KOUTEI_DATE_inter1</t>
  </si>
  <si>
    <t>cst_wskakunin_koutei_ikou01_KOUTEI_TEXT_inter2</t>
  </si>
  <si>
    <t>cst_wskakunin_koutei_ikou01_KOUTEI_DATE_inter2</t>
  </si>
  <si>
    <t>cst_wskakunin_koutei_ikou02_KOUTEI_DATE_inter1</t>
  </si>
  <si>
    <t>cst_wskakunin_koutei_ikou02_KOUTEI_TEXT_inter2</t>
  </si>
  <si>
    <t>※ 中間1枚目 - 確認時：特定工程3があれば出力</t>
  </si>
  <si>
    <t>※ 中間2枚目 - 確認時：特定工程4があれば出力</t>
  </si>
  <si>
    <t>cst_wskakunin_koutei_ikou02_KOUTEI_KAISUU</t>
  </si>
  <si>
    <t>cst_wskakunin_koutei_ikou02_KOUTEI_TEXT</t>
  </si>
  <si>
    <t>cst_wskakunin_koutei_ikou02_KOUTEI_DATE</t>
  </si>
  <si>
    <t>cst_wskakunin_keibi_henkou01_HENKOU_SYURUI</t>
  </si>
  <si>
    <t>cst_wskakunin_keibi_henkou01_HENKOU_GAIYOU</t>
  </si>
  <si>
    <t>cst_wskakunin_koutei_ikou01_KOUTEI_KAISUU_inter1</t>
  </si>
  <si>
    <t>cst_wskakunin_koutei_ikou01_KOUTEI_TEXT_inter1</t>
  </si>
  <si>
    <t>cst_wskakunin_koutei_ikou01_KOUTEI_KAISUU_inter2</t>
  </si>
  <si>
    <t>cst_wskakunin_koutei_ikou02_KOUTEI_KAISUU_inter1</t>
  </si>
  <si>
    <t>cst_wskakunin_koutei_ikou02_KOUTEI_TEXT_inter1</t>
  </si>
  <si>
    <t>cst_wskakunin_koutei_ikou02_KOUTEI_KAISUU_inter2</t>
  </si>
  <si>
    <t>cst_wskakunin_koutei_ikou02_KOUTEI_DATE_inter2</t>
  </si>
  <si>
    <t>確認：自分, 検査：直前 ※ 確認は受理後有効</t>
  </si>
  <si>
    <t>cst_ISSUE_NO_select</t>
  </si>
  <si>
    <t>1：確認（確認, 計変）,3：中間, 4：完了</t>
  </si>
  <si>
    <t>chk_JOB_KIND_kakunin</t>
  </si>
  <si>
    <t>基準法の種別判定</t>
  </si>
  <si>
    <t>【9.検査経過】</t>
  </si>
  <si>
    <t xml:space="preserve">【ﾛ.中間検査合格証交付者】 </t>
  </si>
  <si>
    <t>左側：</t>
  </si>
  <si>
    <t>右側：</t>
  </si>
  <si>
    <t>**wskakunin_koutei02_INTER_ISSUE_NAME</t>
  </si>
  <si>
    <t>**wskakunin_koutei02_INTER_ISSUE_NO</t>
  </si>
  <si>
    <t>**wskakunin_koutei02_INTER_ISSUE_DATE</t>
  </si>
  <si>
    <t>**wskakunin_koutei01_INTER_ISSUE_NAME</t>
  </si>
  <si>
    <t>**wskakunin_koutei01_INTER_ISSUE_NO</t>
  </si>
  <si>
    <t>**wskakunin_koutei01_INTER_ISSUE_DATE</t>
  </si>
  <si>
    <t>cst_wskakunin_koutei02_INTER_ISSUE_DATE</t>
  </si>
  <si>
    <t>種別（中間時 - 特定工程別）</t>
  </si>
  <si>
    <t>10：確認（確認, 計変）, 30：中間_前0, 31：中間_前1, 32：中間_前2, 40：完了</t>
  </si>
  <si>
    <t>chk_INTER1_state_in_conf</t>
  </si>
  <si>
    <t>chk_INTER2_state_in_conf</t>
  </si>
  <si>
    <t>chk_INTER3_state_in_conf</t>
  </si>
  <si>
    <t>chk_INTER_state_in_final</t>
  </si>
  <si>
    <t>※ 確認(10)、完了(40)で用いる</t>
  </si>
  <si>
    <t>出力用</t>
  </si>
  <si>
    <t>cst_wskakunin_koutei01_INTER_ISSUE_NAME</t>
  </si>
  <si>
    <t>cst_wskakunin_koutei01_INTER_ISSUE_NO</t>
  </si>
  <si>
    <t>cst_wskakunin_koutei01_INTER_ISSUE_DATE</t>
  </si>
  <si>
    <t>cst_wskakunin_koutei_keika01_INTER_ISSUE_DATE_select</t>
  </si>
  <si>
    <t>cst_wskakunin_koutei_keika01_KOUTEI_KAISUU_select</t>
  </si>
  <si>
    <t>cst_wskakunin_koutei_keika01_KOUTEI_TEXT_select</t>
  </si>
  <si>
    <t>cst_wskakunin_koutei_keika01_INTER_ISSUE_NAME_select</t>
  </si>
  <si>
    <t>cst_wskakunin_koutei_keika01_INTER_ISSUE_NO_select</t>
  </si>
  <si>
    <t>中間1枚目出力用</t>
  </si>
  <si>
    <t>中間2枚目出力用</t>
  </si>
  <si>
    <t>cst_wskakunin_koutei02_INTER_ISSUE_NAME</t>
  </si>
  <si>
    <t>cst_wskakunin_koutei02_INTER_ISSUE_NO</t>
  </si>
  <si>
    <t>cst_wskakunin_koutei_keika02_KOUTEI_KAISUU_select</t>
  </si>
  <si>
    <t>cst_wskakunin_koutei_keika02_KOUTEI_TEXT_select</t>
  </si>
  <si>
    <t>cst_wskakunin_koutei_keika02_INTER_ISSUE_NAME_select</t>
  </si>
  <si>
    <t>cst_wskakunin_koutei_keika02_INTER_ISSUE_NO_select</t>
  </si>
  <si>
    <t>cst_wskakunin_koutei_keika02_INTER_ISSUE_DATE_select</t>
  </si>
  <si>
    <t>2</t>
  </si>
  <si>
    <t>4.</t>
  </si>
  <si>
    <t>**wskakunin_koutei_izen03_KOUTEI_KAISUU</t>
  </si>
  <si>
    <t>**wskakunin_koutei_izen03_KOUTEI_TEXT</t>
  </si>
  <si>
    <t>**wskakunin_koutei_izen03_INTER_ISSUE_NAME</t>
  </si>
  <si>
    <t>**wskakunin_koutei_izen03_INTER_ISSUE_NO</t>
  </si>
  <si>
    <t>**wskakunin_koutei_izen03_INTER_ISSUE_DATE</t>
  </si>
  <si>
    <t>**wskakunin_koutei_izen04_KOUTEI_KAISUU</t>
  </si>
  <si>
    <t>**wskakunin_koutei_izen04_KOUTEI_TEXT</t>
  </si>
  <si>
    <t>**wskakunin_koutei_izen04_INTER_ISSUE_NAME</t>
  </si>
  <si>
    <t>**wskakunin_koutei_izen04_INTER_ISSUE_NO</t>
  </si>
  <si>
    <t>**wskakunin_koutei_izen04_INTER_ISSUE_DATE</t>
  </si>
  <si>
    <t>cst_wskakunin_koutei_izen03_KOUTEI_KAISUU</t>
  </si>
  <si>
    <t>cst_wskakunin_koutei_izen03_KOUTEI_TEXT</t>
  </si>
  <si>
    <t>cst_wskakunin_koutei_izen03_INTER_ISSUE_NAME</t>
  </si>
  <si>
    <t>cst_wskakunin_koutei_izen03_INTER_ISSUE_NO</t>
  </si>
  <si>
    <t>cst_wskakunin_koutei_izen03_INTER_ISSUE_DATE</t>
  </si>
  <si>
    <t>cst_wskakunin_koutei_izen04_KOUTEI_KAISUU</t>
  </si>
  <si>
    <t>cst_wskakunin_koutei_izen04_KOUTEI_TEXT</t>
  </si>
  <si>
    <t>cst_wskakunin_koutei_izen04_INTER_ISSUE_NAME</t>
  </si>
  <si>
    <t>cst_wskakunin_koutei_izen04_INTER_ISSUE_NO</t>
  </si>
  <si>
    <t>cst_wskakunin_koutei_izen04_INTER_ISSUE_DATE</t>
  </si>
  <si>
    <t>以前の中間 左側：</t>
  </si>
  <si>
    <t>以前の中間 右側：</t>
  </si>
  <si>
    <t>cst_wskakunin_koutei_izen02_KOUTEI_KAISUU_inter1</t>
  </si>
  <si>
    <t>cst_wskakunin_koutei_izen02_KOUTEI_TEXT_inter1</t>
  </si>
  <si>
    <t>cst_wskakunin_koutei_izen02_INTER_ISSUE_NAME_inter1</t>
  </si>
  <si>
    <t>cst_wskakunin_koutei_izen02_INTER_ISSUE_NO_inter1</t>
  </si>
  <si>
    <t>cst_wskakunin_koutei_izen02_INTER_ISSUE_DATE_inter1</t>
  </si>
  <si>
    <t>cst_wskakunin_koutei_izen02_KOUTEI_KAISUU_inter2</t>
  </si>
  <si>
    <t>cst_wskakunin_koutei_izen02_KOUTEI_TEXT_inter2</t>
  </si>
  <si>
    <t>cst_wskakunin_koutei_izen02_INTER_ISSUE_NAME_inter2</t>
  </si>
  <si>
    <t>cst_wskakunin_koutei_izen02_INTER_ISSUE_NO_inter2</t>
  </si>
  <si>
    <t>cst_wskakunin_koutei_izen02_INTER_ISSUE_DATE_inter2</t>
  </si>
  <si>
    <t>以降の中間 左側：</t>
  </si>
  <si>
    <t>以降の中間 右側：</t>
  </si>
  <si>
    <t>出力条件</t>
  </si>
  <si>
    <t>出力処理</t>
  </si>
  <si>
    <t>cst_koujikikan_year</t>
  </si>
  <si>
    <t>cst_koujikikan_month</t>
  </si>
  <si>
    <t>KAKUNIN_PAGE1</t>
  </si>
  <si>
    <t>cst_wskakunin_KOUZOU_mokuzou</t>
  </si>
  <si>
    <t>cst_wskakunin_KOUZOU_zairai</t>
  </si>
  <si>
    <t>宅配ﾎﾞｯｸｽの設置部分</t>
  </si>
  <si>
    <t>**wskakunin_NOBE_MENSEKI_TAKUHAI_SHINSEI</t>
  </si>
  <si>
    <t>**wskakunin_NOBE_MENSEKI_TAKUHAI_IGAI</t>
  </si>
  <si>
    <t>**wskakunin_NOBE_MENSEKI_TAKUHAI_TOTAL</t>
  </si>
  <si>
    <t>cst_wskakunin_NOBE_MENSEKI_TAKUHAI_SHINSEI</t>
  </si>
  <si>
    <t>cst_wskakunin_NOBE_MENSEKI_TAKUHAI_IGAI</t>
  </si>
  <si>
    <t>cst_wskakunin_NOBE_MENSEKI_TAKUHAI_TOTAL</t>
  </si>
  <si>
    <t>令和</t>
  </si>
  <si>
    <t>日付</t>
  </si>
  <si>
    <t>変更内容</t>
  </si>
  <si>
    <t>三木香澄</t>
  </si>
  <si>
    <t>建築概要一面、築造概要一面の受付欄部分を削除。</t>
  </si>
  <si>
    <t>dSTART</t>
  </si>
  <si>
    <t>種類コード</t>
  </si>
  <si>
    <t>工作物の概要</t>
  </si>
  <si>
    <t>**wskakunin_gaiyou1_WORK_SYURUI_CODE</t>
  </si>
  <si>
    <t>**wskakunin_gaiyou1_WORK_SYURUI</t>
  </si>
  <si>
    <t>**wskakunin_gaiyou1_TAKASA</t>
  </si>
  <si>
    <t>**wskakunin_gaiyou1_KOUZOU</t>
  </si>
  <si>
    <t>cst_wskakunin_gaiyou1_WORK_SYURUI_CODE</t>
  </si>
  <si>
    <t>cst_wskakunin_gaiyou1_WORK_SYURUI</t>
  </si>
  <si>
    <t>cst_wskakunin_gaiyou1_TAKASA</t>
  </si>
  <si>
    <t>cst_wskakunin_gaiyou1_KOUZOU</t>
  </si>
  <si>
    <t>種類</t>
  </si>
  <si>
    <t>高さ</t>
  </si>
  <si>
    <t>昇降機の概要</t>
  </si>
  <si>
    <t>番号</t>
  </si>
  <si>
    <t>種別</t>
  </si>
  <si>
    <t>用途</t>
  </si>
  <si>
    <t>積載荷重</t>
  </si>
  <si>
    <t>最大定員</t>
  </si>
  <si>
    <t>定格速度</t>
  </si>
  <si>
    <t>その他必要な事項</t>
  </si>
  <si>
    <t>認証番号</t>
  </si>
  <si>
    <t>その他必要事項+認証番号</t>
  </si>
  <si>
    <t>**wskakunin_gaiyou1_NO</t>
  </si>
  <si>
    <t>**wskakunin_gaiyou1_EV_KIND</t>
  </si>
  <si>
    <t>**wskakunin_gaiyou1_YOUTO</t>
  </si>
  <si>
    <t>**wskakunin_gaiyou1_SEKISAI</t>
  </si>
  <si>
    <t>**wskakunin_gaiyou1_TEIIN</t>
  </si>
  <si>
    <t>**wskakunin_gaiyou1_SPEED</t>
  </si>
  <si>
    <t>**wskakunin_gaiyou1_SONOTA</t>
  </si>
  <si>
    <t>**wskakunin_gaiyou1_NINSYOU_NO</t>
  </si>
  <si>
    <t>**wskakunin_gaiyou1_SONOTA_and_NINSYOU_NO</t>
  </si>
  <si>
    <t>cst_wskakunin_gaiyou1_NO</t>
  </si>
  <si>
    <t>cst_wskakunin_gaiyou1_EV_KIND</t>
  </si>
  <si>
    <t>cst_wskakunin_gaiyou1_YOUTO</t>
  </si>
  <si>
    <t>cst_wskakunin_gaiyou1_SEKISAI</t>
  </si>
  <si>
    <t>cst_wskakunin_gaiyou1_TEIIN</t>
  </si>
  <si>
    <t>cst_wskakunin_gaiyou1_SPEED</t>
  </si>
  <si>
    <t>cst_wskakunin_gaiyou1_SONOTA</t>
  </si>
  <si>
    <t>cst_wskakunin_gaiyou1_NINSYOU_NO</t>
  </si>
  <si>
    <t>cst_wskakunin_gaiyou1_SONOTA_and_NINSYOU_NO</t>
  </si>
  <si>
    <t>築造、設備概要一面のエラー部分を一部修正</t>
  </si>
  <si>
    <t>築造面積_申請部分</t>
  </si>
  <si>
    <t>築造面積_申請以外の部分</t>
  </si>
  <si>
    <t>築造面積_合計</t>
  </si>
  <si>
    <t>工作物の数_申請部分</t>
  </si>
  <si>
    <t>工作物の数_申請以外部分</t>
  </si>
  <si>
    <t>工作物の数_合計</t>
  </si>
  <si>
    <t>**wskakunin_gaiyou1_TIKUZOU_MENSEKI_SHINSEI</t>
  </si>
  <si>
    <t>**wskakunin_gaiyou1_TIKUZOU_MENSEKI_IGAI</t>
  </si>
  <si>
    <t>**wskakunin_gaiyou1_TIKUZOU_MENSEKI_TOTAL</t>
  </si>
  <si>
    <t>**wskakunin_gaiyou1_WORK_COUNT_SHINSEI</t>
  </si>
  <si>
    <t>**wskakunin_gaiyou1_WORK_COUNT_IGAI</t>
  </si>
  <si>
    <t>**wskakunin_gaiyou1_WORK_COUNT_TOTAL</t>
  </si>
  <si>
    <t>cst_wskakunin_gaiyou1_TIKUZOU_MENSEKI_SHINSEI</t>
  </si>
  <si>
    <t>cst_wskakunin_gaiyou1_TIKUZOU_MENSEKI_IGAI</t>
  </si>
  <si>
    <t>cst_wskakunin_gaiyou1_TIKUZOU_MENSEKI_TOTAL</t>
  </si>
  <si>
    <t>cst_wskakunin_gaiyou1_WORK_COUNT_SHINSEI</t>
  </si>
  <si>
    <t>cst_wskakunin_gaiyou1_WORK_COUNT_IGAI</t>
  </si>
  <si>
    <t>cst_wskakunin_gaiyou1_WORK_COUNT_TOTAL</t>
  </si>
  <si>
    <t>築造、設備概要一面のエラー部分を修正</t>
  </si>
  <si>
    <t>cst_wskakunin_20setubi301_NAMEの式を修正</t>
  </si>
  <si>
    <t>**wskakunin_20kouzou101_KOUZOUSEKKEI_KOUFU_NO</t>
  </si>
  <si>
    <t>cst_wskakunin_20kouzou101_KOUZOUSEKKEI_KOUFU_NO</t>
  </si>
  <si>
    <t>**wskakunin_20kouzou301_KOUZOUSEKKEI_KOUFU_NO</t>
  </si>
  <si>
    <t>cst_wskakunin_20kouzou301_KOUZOUSEKKEI_KOUFU_NO</t>
  </si>
  <si>
    <t>**wskakunin_20setubi101_SETUBISEKKEI_KOUFU_NO</t>
  </si>
  <si>
    <t>cst_wskakunin_20setubi101_SETUBISEKKEI_KOUFU_NO</t>
  </si>
  <si>
    <t>**wskakunin_20setubi102_SETUBISEKKEI_KOUFU_NO</t>
  </si>
  <si>
    <t>cst_wskakunin_20setubi102_SETUBISEKKEI_KOUFU_NO</t>
  </si>
  <si>
    <t>**wskakunin_20setubi103_SETUBISEKKEI_KOUFU_NO</t>
  </si>
  <si>
    <t>cst_wskakunin_20setubi103_SETUBISEKKEI_KOUFU_NO</t>
  </si>
  <si>
    <t>**wskakunin_20setubi301_SETUBISEKKEI_KOUFU_NO</t>
  </si>
  <si>
    <t>cst_wskakunin_20setubi301_SETUBISEKKEI_KOUFU_NO</t>
  </si>
  <si>
    <t>**wskakunin_20setubi302_SETUBISEKKEI_KOUFU_NO</t>
  </si>
  <si>
    <t>cst_wskakunin_20setubi302_SETUBISEKKEI_KOUFU_NO</t>
  </si>
  <si>
    <t>**wskakunin_20setubi303_SETUBISEKKEI_KOUFU_NO</t>
  </si>
  <si>
    <t>cst_wskakunin_20setubi303_SETUBISEKKEI_KOUFU_NO</t>
  </si>
  <si>
    <t>床面積（申請部分）</t>
  </si>
  <si>
    <t>設備・構造設計一級建築士交付番号のセル名修正</t>
  </si>
  <si>
    <t>**shinsei_ISSUE_KOUFU_NAME</t>
  </si>
  <si>
    <t>cst_shinsei_ISSUE_KOUFU_NAME</t>
  </si>
  <si>
    <t>確認済証交付者のセル名を修正</t>
  </si>
  <si>
    <t>**wskakunin_20kouzou102_NAME</t>
  </si>
  <si>
    <t>cst_wskakunin_20kouzou102_NAME</t>
  </si>
  <si>
    <t>**wskakunin_20kouzou102_KOUZOUSEKKEI_KOUFU_NO</t>
  </si>
  <si>
    <t>cst_wskakunin_20kouzou102_KOUZOUSEKKEI_KOUFU_NO</t>
  </si>
  <si>
    <t>**wskakunin_20kouzou103_NAME</t>
  </si>
  <si>
    <t>cst_wskakunin_20kouzou103_NAME</t>
  </si>
  <si>
    <t>**wskakunin_20kouzou103_KOUZOUSEKKEI_KOUFU_NO</t>
  </si>
  <si>
    <t>cst_wskakunin_20kouzou103_KOUZOUSEKKEI_KOUFU_NO</t>
  </si>
  <si>
    <t>**wskakunin_20kouzou104_NAME</t>
  </si>
  <si>
    <t>cst_wskakunin_20kouzou104_NAME</t>
  </si>
  <si>
    <t>**wskakunin_20kouzou104_KOUZOUSEKKEI_KOUFU_NO</t>
  </si>
  <si>
    <t>cst_wskakunin_20kouzou104_KOUZOUSEKKEI_KOUFU_NO</t>
  </si>
  <si>
    <t>**wskakunin_20kouzou105_NAME</t>
  </si>
  <si>
    <t>cst_wskakunin_20kouzou105_NAME</t>
  </si>
  <si>
    <t>**wskakunin_20kouzou105_KOUZOUSEKKEI_KOUFU_NO</t>
  </si>
  <si>
    <t>cst_wskakunin_20kouzou105_KOUZOUSEKKEI_KOUFU_NO</t>
  </si>
  <si>
    <t>**wskakunin_20kouzou302_NAME</t>
  </si>
  <si>
    <t>cst_wskakunin_20kouzou302_NAME</t>
  </si>
  <si>
    <t>**wskakunin_20kouzou302_KOUZOUSEKKEI_KOUFU_NO</t>
  </si>
  <si>
    <t>cst_wskakunin_20kouzou302_KOUZOUSEKKEI_KOUFU_NO</t>
  </si>
  <si>
    <t>**wskakunin_20kouzou303_NAME</t>
  </si>
  <si>
    <t>cst_wskakunin_20kouzou303_NAME</t>
  </si>
  <si>
    <t>**wskakunin_20kouzou303_KOUZOUSEKKEI_KOUFU_NO</t>
  </si>
  <si>
    <t>cst_wskakunin_20kouzou303_KOUZOUSEKKEI_KOUFU_NO</t>
  </si>
  <si>
    <t>**wskakunin_20kouzou304_NAME</t>
  </si>
  <si>
    <t>cst_wskakunin_20kouzou304_NAME</t>
  </si>
  <si>
    <t>**wskakunin_20kouzou304_KOUZOUSEKKEI_KOUFU_NO</t>
  </si>
  <si>
    <t>cst_wskakunin_20kouzou304_KOUZOUSEKKEI_KOUFU_NO</t>
  </si>
  <si>
    <t>**wskakunin_20kouzou305_NAME</t>
  </si>
  <si>
    <t>cst_wskakunin_20kouzou305_NAME</t>
  </si>
  <si>
    <t>**wskakunin_20kouzou305_KOUZOUSEKKEI_KOUFU_NO</t>
  </si>
  <si>
    <t>cst_wskakunin_20kouzou305_KOUZOUSEKKEI_KOUFU_NO</t>
  </si>
  <si>
    <t>**wskakunin_20setubi104_NAME</t>
  </si>
  <si>
    <t>cst_wskakunin_20setubi104_NAME</t>
  </si>
  <si>
    <t>**wskakunin_20setubi104_SETUBISEKKEI_KOUFU_NO</t>
  </si>
  <si>
    <t>cst_wskakunin_20setubi104_SETUBISEKKEI_KOUFU_NO</t>
  </si>
  <si>
    <t>**wskakunin_20setubi105_NAME</t>
  </si>
  <si>
    <t>cst_wskakunin_20setubi105_NAME</t>
  </si>
  <si>
    <t>**wskakunin_20setubi105_SETUBISEKKEI_KOUFU_NO</t>
  </si>
  <si>
    <t>cst_wskakunin_20setubi105_SETUBISEKKEI_KOUFU_NO</t>
  </si>
  <si>
    <t>**wskakunin_20setubi304_NAME</t>
  </si>
  <si>
    <t>cst_wskakunin_20setubi304_NAME</t>
  </si>
  <si>
    <t>**wskakunin_20setubi304_SETUBISEKKEI_KOUFU_NO</t>
  </si>
  <si>
    <t>cst_wskakunin_20setubi304_SETUBISEKKEI_KOUFU_NO</t>
  </si>
  <si>
    <t>**wskakunin_20setubi305_NAME</t>
  </si>
  <si>
    <t>cst_wskakunin_20setubi305_NAME</t>
  </si>
  <si>
    <t>**wskakunin_20setubi305_SETUBISEKKEI_KOUFU_NO</t>
  </si>
  <si>
    <t>cst_wskakunin_20setubi305_SETUBISEKKEI_KOUFU_NO</t>
  </si>
  <si>
    <t>別紙_設計者2のリンク先修正、表示人数を五人ずつに</t>
  </si>
  <si>
    <t>建築工事届　「印」削除</t>
  </si>
  <si>
    <t>寺田</t>
  </si>
  <si>
    <t>DATAシートのデータ欄に入力されているものを削除</t>
  </si>
  <si>
    <t>入力チェック</t>
  </si>
  <si>
    <t>cst_wskakunin_sekou1_kakunin</t>
  </si>
  <si>
    <t>：未入力1,入力済み2</t>
  </si>
  <si>
    <t>cst_ISSUE_DATE_select</t>
  </si>
  <si>
    <t>cst_wskakunin_KOUZOU</t>
  </si>
  <si>
    <t>cst_wsjob_KENTIKUBUTU_box</t>
  </si>
  <si>
    <t>cst_wsjob_SYOUKOUKI_box</t>
  </si>
  <si>
    <t>工事種別-新築</t>
  </si>
  <si>
    <t>**wskakunin_gaiyou1_KOUJI_SINTIKU</t>
  </si>
  <si>
    <t>cst_wskakunin_gaiyou1_KOUJI_SINTIKU</t>
  </si>
  <si>
    <t>工事種別-増築</t>
  </si>
  <si>
    <t>**wskakunin_gaiyou1_KOUJI_ZOUTIKU</t>
  </si>
  <si>
    <t>cst_wskakunin_gaiyou1_KOUJI_ZOUTIKU</t>
  </si>
  <si>
    <t>工事種別-改築</t>
  </si>
  <si>
    <t>**wskakunin_gaiyou1_KOUJI_KAITIKU</t>
  </si>
  <si>
    <t>cst_wskakunin_gaiyou1_KOUJI_KAITIKU</t>
  </si>
  <si>
    <t>工事種別-その他</t>
  </si>
  <si>
    <t>**wskakunin_gaiyou1_KOUJI_SONOTA</t>
  </si>
  <si>
    <t>cst_wskakunin_gaiyou1_KOUJI_SONOTA</t>
  </si>
  <si>
    <t>工事種別-その他()</t>
  </si>
  <si>
    <t>**wskakunin_gaiyou1_KOUJI_SONOTA_TEXT</t>
  </si>
  <si>
    <t>cst_wskakunin_gaiyou1_KOUJI_SONOTA_TEXT</t>
  </si>
  <si>
    <t>（その他の建築設備の設計に関し意見を聴いた者４）</t>
  </si>
  <si>
    <t>**wskakunin_iken5_NAME</t>
  </si>
  <si>
    <t>cst_wskakunin_iken5_NAME</t>
  </si>
  <si>
    <t>**wskakunin_iken5_JIMU_NAME</t>
  </si>
  <si>
    <t>cst_wskakunin_iken5_JIMU_NAME</t>
  </si>
  <si>
    <t>**wskakunin_iken5_ZIP</t>
  </si>
  <si>
    <t>cst_wskakunin_iken5_ZIP</t>
  </si>
  <si>
    <t>**wskakunin_iken5__address</t>
  </si>
  <si>
    <t>cst_wskakunin_iken5__address</t>
  </si>
  <si>
    <t>**wskakunin_iken5_TEL</t>
  </si>
  <si>
    <t>cst_wskakunin_iken5_TEL</t>
  </si>
  <si>
    <t>**wskakunin_iken5_IKEN_NO</t>
  </si>
  <si>
    <t>cst_wskakunin_iken5_IKEN_NO</t>
  </si>
  <si>
    <t>**wskakunin_iken5_DOC</t>
  </si>
  <si>
    <t>cst_wskakunin_iken5_DOC</t>
  </si>
  <si>
    <t>**wskakunin_BUILD_NAME_KANA</t>
  </si>
  <si>
    <t>**wskakunin_koutei04_KOUTEI_KAISUU</t>
  </si>
  <si>
    <t>**wskakunin_koutei04_KOUTEI_DATE</t>
  </si>
  <si>
    <t>**wskakunin_koutei04_KOUTEI_TEXT</t>
  </si>
  <si>
    <t>共同・長屋の戸数</t>
  </si>
  <si>
    <t>**shinsei_UNIT_COUNT</t>
  </si>
  <si>
    <t>cst_shinsei_UNIT_COUNT</t>
  </si>
  <si>
    <t>受付システム第六面</t>
  </si>
  <si>
    <t>**shinsei_build_p6_01_PAGE6_KOUZOU_KEISAN_KIND__005</t>
  </si>
  <si>
    <t>cst_shinsei_build_p6_01_PAGE6_KOUZOU_KEISAN_KIND__005</t>
  </si>
  <si>
    <t>ルート２</t>
  </si>
  <si>
    <t>**shinsei_build_p6_01_PAGE6_KOUZOU_KEISAN_KIND__004</t>
  </si>
  <si>
    <t>cst_shinsei_build_p6_01_PAGE6_KOUZOU_KEISAN_KIND__004</t>
  </si>
  <si>
    <t>ルート３</t>
  </si>
  <si>
    <t>**shinsei_build_p6_01_PAGE6_KOUZOU_KEISAN_KIND__002</t>
  </si>
  <si>
    <t>cst_shinsei_build_p6_01_PAGE6_KOUZOU_KEISAN_KIND__002</t>
  </si>
  <si>
    <t>cst_wskakunin_kyoka01_JOUKOU</t>
  </si>
  <si>
    <t>cst_wskakunin_kyoka01_KYOKA_NO</t>
  </si>
  <si>
    <t>cst_wskakunin_kyoka01_KYOKA_DATE</t>
  </si>
  <si>
    <t>cst_wskakunin_kyoka01_BIKOU</t>
  </si>
  <si>
    <t>cst_wskakunin_kyoka02_JOUKOU</t>
  </si>
  <si>
    <t>cst_wskakunin_kyoka02_KYOKA_NO</t>
  </si>
  <si>
    <t>cst_wskakunin_kyoka02_KYOKA_DATE</t>
  </si>
  <si>
    <t>cst_wskakunin_kyoka02_BIKOU</t>
  </si>
  <si>
    <t>cst_wskakunin_kyoka03_JOUKOU</t>
  </si>
  <si>
    <t>cst_wskakunin_kyoka03_KYOKA_NO</t>
  </si>
  <si>
    <t>cst_wskakunin_kyoka03_KYOKA_DATE</t>
  </si>
  <si>
    <t>cst_wskakunin_kyoka03_BIKOU</t>
  </si>
  <si>
    <t>cst_wskakunin_owner2__space</t>
  </si>
  <si>
    <t>cst_wskakunin_owner3__space</t>
  </si>
  <si>
    <t>cst_wskakunin_owner4__space</t>
  </si>
  <si>
    <t>cst_wskakunin_owner5__space</t>
  </si>
  <si>
    <t>cst_wskakunin_owner6__space3</t>
  </si>
  <si>
    <t>確認済証交付者（届出用）</t>
  </si>
  <si>
    <t>cst_ISSUE_KOUFU_NAME_select</t>
  </si>
  <si>
    <t>cst_wskakunin__kuiki_box</t>
  </si>
  <si>
    <t>事前受付日</t>
  </si>
  <si>
    <t>**shinsei_PROVO_DATE</t>
  </si>
  <si>
    <t>cst_shinsei_PROVO_DATE</t>
  </si>
  <si>
    <t>事前受付番号</t>
  </si>
  <si>
    <t>**shinsei_PROVO_NO</t>
  </si>
  <si>
    <t>cst_shinsei_PROVO_NO</t>
  </si>
  <si>
    <t>cst_wskakunin_owner2__space2</t>
  </si>
  <si>
    <t>cst_wskakunin_owner1__space3</t>
  </si>
  <si>
    <t>cst_wskakunin_owner2__space3</t>
  </si>
  <si>
    <t>cst_wskakunin_KOUJI_SETUBI_box</t>
  </si>
  <si>
    <t>確認済証番号（届出用）</t>
  </si>
  <si>
    <t>cst_shinsei_KAKUNIN_ISSUE_NO</t>
  </si>
  <si>
    <t>　※確認かそれ以外かで判別する</t>
  </si>
  <si>
    <t>cst_shinsei_KAKUNIN_KOUFU_DATE</t>
  </si>
  <si>
    <t>確認済証交付日（届出用）</t>
  </si>
  <si>
    <t>cst_wskakunin_owner1_ZIP2</t>
  </si>
  <si>
    <t>cst_wskakunin_kanri1_ZIP2</t>
  </si>
  <si>
    <t>cst_wsjob_JOB_KIND_kakunin_box</t>
  </si>
  <si>
    <t>cst_wsjob_JOB_KIND_inter_box</t>
  </si>
  <si>
    <t>cst_wsjob_JOB_KIND_final_box</t>
  </si>
  <si>
    <t>【7.工事完了年月日】</t>
  </si>
  <si>
    <t>西暦</t>
  </si>
  <si>
    <t>【7.工事完了予定年月日】</t>
  </si>
  <si>
    <t>cst_wskakunin_KOUJI_KANRYOU_YOTEI_DATE_select</t>
  </si>
  <si>
    <t>**shinsei_KAKU_SUMI_NO</t>
  </si>
  <si>
    <t>cst_shinsei_KAKU_SUMI_NO</t>
  </si>
  <si>
    <t>基準法より</t>
  </si>
  <si>
    <t>**shinsei_build_YOUTO</t>
  </si>
  <si>
    <t>cst_shinsei_build_YOUTO</t>
  </si>
  <si>
    <t>cst_wskakunin_BUILD_NAME_KANA</t>
  </si>
  <si>
    <t>cst_wskakunin_koutei04_KOUTEI_KAISUU</t>
  </si>
  <si>
    <t>cst_wskakunin_koutei04_KOUTEI_DATE</t>
  </si>
  <si>
    <t>cst_wskakunin_koutei04_KOUTEI_TEXT</t>
  </si>
  <si>
    <t>会社名フリガナ&lt;スペース&gt;役職フリガナ&lt;スペース&gt;氏名フリガナ　常に表示（一行表示）</t>
  </si>
  <si>
    <t>cst_wskakunin_owner1__space_KANA2</t>
  </si>
  <si>
    <t>cst_wskakunin_owner1__space4</t>
  </si>
  <si>
    <t>会社名&lt;スペース&gt;役職&lt;スペース&gt;氏名　常に表示（一行表示）</t>
  </si>
  <si>
    <t>防火設備の有無</t>
  </si>
  <si>
    <t>**wskakunin_BOUKA_SETUBI_FLAG</t>
  </si>
  <si>
    <t>cst_wskakunin_BOUKA_SETUBI_FLAG</t>
  </si>
  <si>
    <t>cst_wskakunin_BOUKA_SETUBI_FLAG_box_on</t>
  </si>
  <si>
    <t>cst_wskakunin_BOUKA_SETUBI_FLAG_box_off</t>
  </si>
  <si>
    <t>提出機関先</t>
  </si>
  <si>
    <t>**wskakunin_KIKAN_NAME</t>
  </si>
  <si>
    <t>cst_wskakunin_KIKAN_NAME</t>
  </si>
  <si>
    <t>建築確認申請事前調査票</t>
  </si>
  <si>
    <t>田園住居地域</t>
  </si>
  <si>
    <t>取下げ届</t>
  </si>
  <si>
    <t>建築基準法第７条の６第１項の規定による仮使用認定</t>
  </si>
  <si>
    <t>工事取止届</t>
  </si>
  <si>
    <t>法第42条第1項一号</t>
  </si>
  <si>
    <t>法第42条第1項二号</t>
  </si>
  <si>
    <t>法第42条第1項三号</t>
  </si>
  <si>
    <t>法第42条第1項四号</t>
  </si>
  <si>
    <t>法第42条第1項五号</t>
  </si>
  <si>
    <t>法第42条第2項</t>
  </si>
  <si>
    <t>☑</t>
  </si>
  <si>
    <t>用途地域の指定のない区域</t>
  </si>
  <si>
    <t>第一種低層住居専用</t>
  </si>
  <si>
    <t>第二種低層住居専用</t>
  </si>
  <si>
    <t>第一種中高層住居専用</t>
  </si>
  <si>
    <t>第二種中高層住居専用</t>
  </si>
  <si>
    <t>第一種住居</t>
  </si>
  <si>
    <t>第二種住居</t>
  </si>
  <si>
    <t>高層住居誘導地区</t>
  </si>
  <si>
    <t>cst_shinsei_ISSUE_NO_disp</t>
  </si>
  <si>
    <t>cst_wskakunin_dairi1__space2</t>
  </si>
  <si>
    <t>**wsflat35_dairi1_POST</t>
  </si>
  <si>
    <t>cst_wsflat35_dairi1_POST</t>
  </si>
  <si>
    <t>氏名または会社名</t>
  </si>
  <si>
    <t>役職＋氏名 ※会社時のみ</t>
  </si>
  <si>
    <t>cst_wskakunin_owner1__line1</t>
  </si>
  <si>
    <t>cst_wskakunin_owner1__line2</t>
  </si>
  <si>
    <t>全様式を作成</t>
  </si>
  <si>
    <t>設計住宅性能評価申請書H　出力条件を修正</t>
  </si>
  <si>
    <t>取下げ届 　チェックボックスのリンク先修正</t>
  </si>
  <si>
    <t>_S造、_木造　施工状況報告欄→施工状況確認欄</t>
  </si>
  <si>
    <t>KNKからSTJCへ</t>
  </si>
  <si>
    <t>DATAシートを共通のものに差し替え、日付表示設定を変更</t>
  </si>
  <si>
    <t>建築工事届</t>
  </si>
  <si>
    <t>委任状(確認等)</t>
  </si>
  <si>
    <t>現地調査表(茨城県)</t>
  </si>
  <si>
    <t>記載事項変更・訂正届</t>
  </si>
  <si>
    <t>軽微な変更説明書</t>
  </si>
  <si>
    <t>名義変更届</t>
  </si>
  <si>
    <t>工事監理者・施工者の決定届出書</t>
  </si>
  <si>
    <t>工事施工者の決定届出書（建築設備用・工作物）</t>
  </si>
  <si>
    <t>フラット35(設計)</t>
  </si>
  <si>
    <t>フラット35(中間)</t>
  </si>
  <si>
    <t>フラット35(竣工)</t>
  </si>
  <si>
    <t>設計住宅性能評価申請書</t>
  </si>
  <si>
    <t>建設住宅性能評価申請書</t>
  </si>
  <si>
    <t>評価用　施工状況報告書【戸建（木造）】</t>
  </si>
  <si>
    <t>評価用　施工状況報告書【戸建（Ｓ造）】</t>
  </si>
  <si>
    <t>評価用　自己評価書･設計内容説明書【戸建（木造用）】</t>
  </si>
  <si>
    <t>評価用　自己評価書･設計内容説明書【戸建（S造用）】</t>
  </si>
  <si>
    <t>非表示予定</t>
  </si>
  <si>
    <t>建築工事届K</t>
  </si>
  <si>
    <t>茨城県_現地調査表</t>
  </si>
  <si>
    <t>水戸市_別添</t>
  </si>
  <si>
    <t>日立市_別添</t>
  </si>
  <si>
    <t>ひたちなか市_別添</t>
  </si>
  <si>
    <t>取手市_別添</t>
  </si>
  <si>
    <t>高萩市_別添</t>
  </si>
  <si>
    <t>つくば市_別添</t>
  </si>
  <si>
    <t>工事施工者の決定報告書</t>
  </si>
  <si>
    <t>設申一面</t>
  </si>
  <si>
    <t>設申二面戸</t>
  </si>
  <si>
    <t>中現申一面</t>
  </si>
  <si>
    <t>中現申二面</t>
  </si>
  <si>
    <t>適合申一面</t>
  </si>
  <si>
    <t>適合申二面戸</t>
  </si>
  <si>
    <t>設計住宅性能評価申請書H</t>
  </si>
  <si>
    <t>表紙_木造</t>
  </si>
  <si>
    <t>耐震_木造</t>
  </si>
  <si>
    <t>火災_木造</t>
  </si>
  <si>
    <t>劣化・維持管理_木造</t>
  </si>
  <si>
    <t>省エネ_木造</t>
  </si>
  <si>
    <t>空気・光・音環境_木造</t>
  </si>
  <si>
    <t>高齢者_木造</t>
  </si>
  <si>
    <t>防犯_木造</t>
  </si>
  <si>
    <t>表紙_S造</t>
  </si>
  <si>
    <t>耐震_一般_S造</t>
  </si>
  <si>
    <t>耐震_認証_S造</t>
  </si>
  <si>
    <t>火災_S造</t>
  </si>
  <si>
    <t>劣化・維持管理_S造</t>
  </si>
  <si>
    <t>省エネ_S造</t>
  </si>
  <si>
    <t>空気・光・音環境_S造</t>
  </si>
  <si>
    <t>高齢者_S造</t>
  </si>
  <si>
    <t>防犯_S造</t>
  </si>
  <si>
    <t>施工者 &lt;&gt; 一建設</t>
  </si>
  <si>
    <t>リンク先修正</t>
  </si>
  <si>
    <t>cst_wskakunin_owner3__space2</t>
  </si>
  <si>
    <t>印刷範囲、白黒印刷設定</t>
  </si>
  <si>
    <t>自己評価書系のシート削除（別ファイルで管理するため）</t>
  </si>
  <si>
    <t>dSHEET修正</t>
  </si>
  <si>
    <t>委任状_確認等</t>
  </si>
  <si>
    <t>住宅金融支援機構融資に係る工事検査</t>
  </si>
  <si>
    <t>堀</t>
  </si>
  <si>
    <t>委任状(3シート)を「_200513」からコピー、dSheet復元</t>
  </si>
  <si>
    <t>徳永</t>
  </si>
  <si>
    <t>建築工事届　プルダウン修正</t>
  </si>
  <si>
    <t>委任状シートが全様式に未対応だったため修復</t>
  </si>
  <si>
    <t>昇降機以外の建築設備</t>
  </si>
  <si>
    <t>工作物（88-1）</t>
  </si>
  <si>
    <t>工作物（88-2）</t>
  </si>
  <si>
    <t>cst_wsjob_KENTIKUSETUBI_box</t>
  </si>
  <si>
    <t>cst_wsjob_KOUSAKUBUTU_2_box</t>
  </si>
  <si>
    <t>cst_wsjob_KOUSAKUBUTU_1_box</t>
  </si>
  <si>
    <t>長期優良住宅建築等計画に係る技術的審査</t>
  </si>
  <si>
    <t>-長期第二面表記用</t>
  </si>
  <si>
    <t>cst_wskakunin_KOUJI_zoukaitiku_box</t>
  </si>
  <si>
    <t>―長期第二面表記用戸建box</t>
  </si>
  <si>
    <t>―長期第二面表記用共同box</t>
  </si>
  <si>
    <t>cst_wskakunin_YOUTO_kodate_box</t>
  </si>
  <si>
    <t>cst_wskakunin_YOUTO_kyoudou_box</t>
  </si>
  <si>
    <t>第6条の4第1項の特例の有無</t>
  </si>
  <si>
    <t>**wskakunin_p4_1_TOKUREI_KAKUNIN_FLAG</t>
  </si>
  <si>
    <t>cst_wskakunin_p4_1_TOKUREI_KAKUNIN_FLAG</t>
  </si>
  <si>
    <t>cst_wskakunin_p4_1_TOKUREI_KAKUNIN_FLAG_on</t>
  </si>
  <si>
    <t>cst_wskakunin_p4_1_TOKUREI_KAKUNIN_FLAG_off</t>
  </si>
  <si>
    <t>長期優良（注文・分譲）</t>
  </si>
  <si>
    <t>長期優良（分譲（譲受人未決定））</t>
  </si>
  <si>
    <t>変更長期優良（注文・分譲）</t>
  </si>
  <si>
    <t>変更長期優良（分譲（譲受人未決定））</t>
  </si>
  <si>
    <t>長期優良シートを作成</t>
  </si>
  <si>
    <t>技術的審査依頼書</t>
  </si>
  <si>
    <t>技術的審査依頼書_変更</t>
  </si>
  <si>
    <t>第一面_未決定</t>
  </si>
  <si>
    <t>第四面_未決定</t>
  </si>
  <si>
    <t>取下げ届_長期</t>
  </si>
  <si>
    <t>建築計画概要書(第三面)</t>
  </si>
  <si>
    <t>建築計画概要書_第三面</t>
  </si>
  <si>
    <t>上記縮小表示、リンク先修正、建築計画第三面を追加</t>
  </si>
  <si>
    <t>長期　第一面/第二面修正</t>
  </si>
  <si>
    <t>**wskakunin_p4_1_KAISU_YUKA_MENSEKI_SHINSEI</t>
  </si>
  <si>
    <t>cst_wskakunin_p4_1_KAISU_YUKA_MENSEKI_SHINSEI</t>
  </si>
  <si>
    <t>**wskakunin_p4_1_p5_1_KAI</t>
  </si>
  <si>
    <t>第四面-階別-階数-1</t>
  </si>
  <si>
    <t>　-階数1-床面積-申請部分</t>
  </si>
  <si>
    <t>**wskakunin_p4_1_p5_1_P4_MENSEKI_SHINSEI</t>
  </si>
  <si>
    <t>階別-階数-2</t>
  </si>
  <si>
    <t>　-階数2-床面積-申請部分</t>
  </si>
  <si>
    <t>cst_wskakunin_p4_1_p5_1_KAI</t>
  </si>
  <si>
    <t>cst_wskakunin_p4_1_p5_1_P4_MENSEKI_SHINSEI</t>
  </si>
  <si>
    <t>**wskakunin_p4_1_p5_2_KAI</t>
  </si>
  <si>
    <t>**wskakunin_p4_1_p5_2_P4_MENSEKI_SHINSEI</t>
  </si>
  <si>
    <t>cst_wskakunin_p4_1_p5_2_KAI</t>
  </si>
  <si>
    <t>cst_wskakunin_p4_1_p5_2_P4_MENSEKI_SHINSEI</t>
  </si>
  <si>
    <t>階別-階数-3</t>
  </si>
  <si>
    <t>　-階数3-床面積-申請部分</t>
  </si>
  <si>
    <t>**wskakunin_p4_1_p5_3_KAI</t>
  </si>
  <si>
    <t>**wskakunin_p4_1_p5_3_P4_MENSEKI_SHINSEI</t>
  </si>
  <si>
    <t>cst_wskakunin_p4_1_p5_3_KAI</t>
  </si>
  <si>
    <t>cst_wskakunin_p4_1_p5_3_P4_MENSEKI_SHINSEI</t>
  </si>
  <si>
    <t>第二面　三階の情報も追加</t>
  </si>
  <si>
    <t>技術的審査依頼書　建物の名称リンク修正、第二面プルダウン追加</t>
  </si>
  <si>
    <t>三木</t>
  </si>
  <si>
    <t>省エネ_木造：断熱等級、一次エネ部分の等級表示を削除</t>
  </si>
  <si>
    <t>高齢者_木造：印刷範囲は1ページ設定</t>
  </si>
  <si>
    <t>防犯_木造：その他開口部（区分b）を（区分c）へ</t>
  </si>
  <si>
    <t>建築工事届　第三面　ニ．建築工法(1)在来工法の条件に木造（在来工法）も追加</t>
  </si>
  <si>
    <t>住　所</t>
  </si>
  <si>
    <t>住宅金融支援機構の証券化支援事業（フラット３５）に係る物件検査</t>
  </si>
  <si>
    <t>委任状差し替え</t>
  </si>
  <si>
    <t>cst_wskakunin_dairi1_NAME</t>
  </si>
  <si>
    <t>cst_wskakunin_dairi1__space3</t>
  </si>
  <si>
    <t>委任状　代理部分　代理者とリンクへ</t>
  </si>
  <si>
    <t>委　任　状</t>
  </si>
  <si>
    <t>＜代理人＞</t>
  </si>
  <si>
    <t>氏　名</t>
  </si>
  <si>
    <r>
      <t>　</t>
    </r>
    <r>
      <rPr>
        <sz val="11"/>
        <color rgb="FF000000"/>
        <rFont val="ＭＳ 明朝"/>
        <family val="1"/>
        <charset val="128"/>
      </rPr>
      <t>１　申請の区分</t>
    </r>
  </si>
  <si>
    <t>建築基準法第６条の２第１項の規定による確認(計画変更を含む)</t>
  </si>
  <si>
    <t>設計住宅性能評価</t>
  </si>
  <si>
    <t>建設住宅性能評価</t>
  </si>
  <si>
    <t>低炭素建築物新築等計画に係る技術的審査</t>
  </si>
  <si>
    <t>建築物省エネルギー性能表示制度に係る評価</t>
  </si>
  <si>
    <t>建築物エネルギー消費性能適合性判定</t>
  </si>
  <si>
    <t>住宅性能証明書</t>
  </si>
  <si>
    <t>現金所得者向け新築対象住宅証明書</t>
  </si>
  <si>
    <t>BELS評価</t>
  </si>
  <si>
    <t>その他上記に係る各種届出</t>
  </si>
  <si>
    <t>　２  建築場所、設置場所又は築造場所</t>
  </si>
  <si>
    <t>　３  建築物等の名称</t>
  </si>
  <si>
    <t>＜委任者(建築主等)＞</t>
  </si>
  <si>
    <t>cst_wskakunin_owner2_JIMU_NAME</t>
  </si>
  <si>
    <t>cst_wskakunin_owner2_JIMU_NAME_KANA</t>
  </si>
  <si>
    <t>cst_wskakunin_owner2__address</t>
  </si>
  <si>
    <t>委任状　再度差し替え</t>
  </si>
  <si>
    <t>「建築確認申請事前調査票」の「22条地域」⇒「22条区域」</t>
  </si>
  <si>
    <t>埼玉県</t>
  </si>
  <si>
    <t>あああ</t>
  </si>
  <si>
    <t>一般財団法人 さいたま住宅検査センター　理事長</t>
  </si>
  <si>
    <t>ｱｱｱｱ</t>
  </si>
  <si>
    <t>申請に関する手続き等の一切の権限を委任します。</t>
    <phoneticPr fontId="41"/>
  </si>
  <si>
    <t>　私は、上記の者を代理人と定め、一般財団法人さいたま住宅検査センターに対する下記の</t>
    <phoneticPr fontId="4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</si>
</sst>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Red]&quot;¥&quot;\-#,##0"/>
    <numFmt numFmtId="176" formatCode="yyyy/m/d;@"/>
    <numFmt numFmtId="177" formatCode="#,##0.00_ "/>
    <numFmt numFmtId="178" formatCode="#,##0.000_ "/>
    <numFmt numFmtId="179" formatCode="0000"/>
    <numFmt numFmtId="180" formatCode="[$-411]ggge&quot;年&quot;m&quot;月&quot;d&quot;日&quot;;@"/>
    <numFmt numFmtId="181" formatCode="#,##0.00_);[Red]\(#,##0.00\)"/>
    <numFmt numFmtId="182" formatCode="yyyy/mm/dd"/>
    <numFmt numFmtId="183" formatCode="[$-411]ggge&quot;年&quot;mm&quot;月&quot;dd&quot;日 ( &quot;aaa&quot; )&quot;;@"/>
    <numFmt numFmtId="184" formatCode="[$-F800]dddd\,\ mmmm\ dd\,\ yyyy"/>
  </numFmts>
  <fonts count="42" x14ac:knownFonts="1">
    <font>
      <sz val="11"/>
      <color theme="1"/>
      <name val="ＭＳ Ｐゴシック"/>
      <charset val="128"/>
    </font>
    <font>
      <sz val="11"/>
      <color theme="1"/>
      <name val="ＭＳ Ｐゴシック"/>
      <family val="3"/>
      <charset val="128"/>
      <scheme val="minor"/>
    </font>
    <font>
      <sz val="11"/>
      <color indexed="8"/>
      <name val="ＭＳ Ｐゴシック"/>
      <family val="3"/>
      <charset val="128"/>
    </font>
    <font>
      <sz val="10"/>
      <color theme="1"/>
      <name val="ＭＳ Ｐゴシック"/>
      <family val="3"/>
      <charset val="128"/>
    </font>
    <font>
      <sz val="12"/>
      <color theme="1"/>
      <name val="ＭＳ Ｐゴシック"/>
      <family val="3"/>
      <charset val="128"/>
    </font>
    <font>
      <sz val="9"/>
      <color theme="1"/>
      <name val="ＭＳ Ｐゴシック"/>
      <family val="3"/>
      <charset val="128"/>
    </font>
    <font>
      <sz val="12"/>
      <color indexed="8"/>
      <name val="ＭＳ 明朝"/>
      <family val="1"/>
      <charset val="128"/>
    </font>
    <font>
      <sz val="12"/>
      <color theme="1"/>
      <name val="ＭＳ 明朝"/>
      <family val="1"/>
      <charset val="128"/>
    </font>
    <font>
      <sz val="11"/>
      <color theme="1"/>
      <name val="ＭＳ 明朝"/>
      <family val="1"/>
      <charset val="128"/>
    </font>
    <font>
      <sz val="10"/>
      <color theme="1"/>
      <name val="ＭＳ 明朝"/>
      <family val="1"/>
      <charset val="128"/>
    </font>
    <font>
      <sz val="10.5"/>
      <color theme="1"/>
      <name val="ＭＳ 明朝"/>
      <family val="1"/>
      <charset val="128"/>
    </font>
    <font>
      <sz val="9"/>
      <color indexed="10"/>
      <name val="ＭＳ Ｐゴシック"/>
      <family val="3"/>
      <charset val="128"/>
    </font>
    <font>
      <sz val="9"/>
      <color indexed="8"/>
      <name val="ＭＳ Ｐゴシック"/>
      <family val="3"/>
      <charset val="128"/>
    </font>
    <font>
      <sz val="10"/>
      <color rgb="FFFF0000"/>
      <name val="ＭＳ Ｐゴシック"/>
      <family val="3"/>
      <charset val="128"/>
    </font>
    <font>
      <u/>
      <sz val="11"/>
      <color theme="10"/>
      <name val="ＭＳ Ｐゴシック"/>
      <family val="3"/>
      <charset val="128"/>
      <scheme val="minor"/>
    </font>
    <font>
      <sz val="9"/>
      <color indexed="9"/>
      <name val="ＭＳ Ｐゴシック"/>
      <family val="3"/>
      <charset val="128"/>
    </font>
    <font>
      <b/>
      <sz val="18"/>
      <color indexed="56"/>
      <name val="ＭＳ Ｐゴシック"/>
      <family val="3"/>
      <charset val="128"/>
    </font>
    <font>
      <b/>
      <sz val="9"/>
      <color indexed="9"/>
      <name val="ＭＳ Ｐゴシック"/>
      <family val="3"/>
      <charset val="128"/>
    </font>
    <font>
      <sz val="9"/>
      <color indexed="60"/>
      <name val="ＭＳ Ｐゴシック"/>
      <family val="3"/>
      <charset val="128"/>
    </font>
    <font>
      <sz val="9"/>
      <color indexed="52"/>
      <name val="ＭＳ Ｐゴシック"/>
      <family val="3"/>
      <charset val="128"/>
    </font>
    <font>
      <sz val="9"/>
      <color indexed="20"/>
      <name val="ＭＳ Ｐゴシック"/>
      <family val="3"/>
      <charset val="128"/>
    </font>
    <font>
      <b/>
      <sz val="9"/>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9"/>
      <color indexed="8"/>
      <name val="ＭＳ Ｐゴシック"/>
      <family val="3"/>
      <charset val="128"/>
    </font>
    <font>
      <b/>
      <sz val="9"/>
      <color indexed="63"/>
      <name val="ＭＳ Ｐゴシック"/>
      <family val="3"/>
      <charset val="128"/>
    </font>
    <font>
      <i/>
      <sz val="9"/>
      <color indexed="23"/>
      <name val="ＭＳ Ｐゴシック"/>
      <family val="3"/>
      <charset val="128"/>
    </font>
    <font>
      <sz val="9"/>
      <color indexed="62"/>
      <name val="ＭＳ Ｐゴシック"/>
      <family val="3"/>
      <charset val="128"/>
    </font>
    <font>
      <sz val="9"/>
      <color indexed="17"/>
      <name val="ＭＳ Ｐゴシック"/>
      <family val="3"/>
      <charset val="128"/>
    </font>
    <font>
      <sz val="10"/>
      <color indexed="8"/>
      <name val="ＭＳ Ｐゴシック"/>
      <family val="3"/>
      <charset val="128"/>
    </font>
    <font>
      <sz val="11"/>
      <color theme="1"/>
      <name val="ＭＳ Ｐゴシック"/>
      <family val="3"/>
      <charset val="128"/>
    </font>
    <font>
      <sz val="11"/>
      <color theme="1"/>
      <name val="ＭＳ Ｐゴシック"/>
      <family val="3"/>
      <charset val="128"/>
      <scheme val="minor"/>
    </font>
    <font>
      <sz val="16"/>
      <color theme="1"/>
      <name val="ＭＳ Ｐゴシック"/>
      <family val="3"/>
      <charset val="128"/>
      <scheme val="minor"/>
    </font>
    <font>
      <sz val="11"/>
      <color rgb="FF000000"/>
      <name val="ＭＳ 明朝"/>
      <family val="1"/>
      <charset val="128"/>
    </font>
    <font>
      <sz val="11"/>
      <color indexed="8"/>
      <name val="ＭＳ 明朝"/>
      <family val="1"/>
      <charset val="128"/>
    </font>
    <font>
      <sz val="11"/>
      <color theme="1"/>
      <name val="ＭＳ 明朝"/>
      <family val="1"/>
      <charset val="128"/>
    </font>
    <font>
      <sz val="20"/>
      <color rgb="FF000000"/>
      <name val="ＭＳ 明朝"/>
      <family val="1"/>
      <charset val="128"/>
    </font>
    <font>
      <sz val="11"/>
      <color rgb="FF000000"/>
      <name val="ＭＳ 明朝"/>
      <family val="1"/>
      <charset val="128"/>
    </font>
    <font>
      <b/>
      <sz val="11"/>
      <color indexed="8"/>
      <name val="ＭＳ 明朝"/>
      <family val="1"/>
      <charset val="128"/>
    </font>
    <font>
      <sz val="11"/>
      <color theme="1"/>
      <name val="ＭＳ Ｐゴシック"/>
      <family val="3"/>
      <charset val="128"/>
    </font>
    <font>
      <sz val="6"/>
      <name val="ＭＳ Ｐゴシック"/>
      <family val="3"/>
      <charset val="128"/>
    </font>
  </fonts>
  <fills count="3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2"/>
        <bgColor indexed="64"/>
      </patternFill>
    </fill>
    <fill>
      <patternFill patternType="solid">
        <fgColor indexed="43"/>
        <bgColor indexed="64"/>
      </patternFill>
    </fill>
    <fill>
      <patternFill patternType="solid">
        <fgColor indexed="50"/>
        <bgColor indexed="64"/>
      </patternFill>
    </fill>
    <fill>
      <patternFill patternType="solid">
        <fgColor indexed="44"/>
        <bgColor indexed="64"/>
      </patternFill>
    </fill>
    <fill>
      <patternFill patternType="solid">
        <fgColor indexed="52"/>
        <bgColor indexed="64"/>
      </patternFill>
    </fill>
    <fill>
      <patternFill patternType="solid">
        <fgColor indexed="29"/>
        <bgColor indexed="64"/>
      </patternFill>
    </fill>
    <fill>
      <patternFill patternType="solid">
        <fgColor rgb="FFCCFFCC"/>
        <bgColor indexed="64"/>
      </patternFill>
    </fill>
    <fill>
      <patternFill patternType="solid">
        <fgColor rgb="FFCCFFFF"/>
        <bgColor indexed="64"/>
      </patternFill>
    </fill>
    <fill>
      <patternFill patternType="solid">
        <fgColor rgb="FFFF99CC"/>
        <bgColor indexed="64"/>
      </patternFill>
    </fill>
    <fill>
      <patternFill patternType="solid">
        <fgColor rgb="FFFFFF99"/>
        <bgColor indexed="64"/>
      </patternFill>
    </fill>
    <fill>
      <patternFill patternType="solid">
        <fgColor rgb="FF00FF00"/>
        <bgColor indexed="64"/>
      </patternFill>
    </fill>
    <fill>
      <patternFill patternType="solid">
        <fgColor rgb="FF99CCFF"/>
        <bgColor indexed="64"/>
      </patternFill>
    </fill>
    <fill>
      <patternFill patternType="solid">
        <fgColor rgb="FFFFFF00"/>
        <bgColor indexed="64"/>
      </patternFill>
    </fill>
  </fills>
  <borders count="5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style="thin">
        <color indexed="64"/>
      </bottom>
      <diagonal/>
    </border>
    <border>
      <left/>
      <right/>
      <top/>
      <bottom style="hair">
        <color auto="1"/>
      </bottom>
      <diagonal/>
    </border>
    <border>
      <left/>
      <right style="thin">
        <color indexed="64"/>
      </right>
      <top style="thin">
        <color indexed="64"/>
      </top>
      <bottom style="thin">
        <color indexed="64"/>
      </bottom>
      <diagonal/>
    </border>
    <border>
      <left style="thin">
        <color rgb="FF0000FF"/>
      </left>
      <right style="thin">
        <color rgb="FF0000FF"/>
      </right>
      <top style="thin">
        <color rgb="FF0000FF"/>
      </top>
      <bottom/>
      <diagonal/>
    </border>
    <border>
      <left style="thin">
        <color rgb="FF0000FF"/>
      </left>
      <right style="thin">
        <color rgb="FF0000FF"/>
      </right>
      <top/>
      <bottom/>
      <diagonal/>
    </border>
    <border>
      <left style="thin">
        <color rgb="FF0000FF"/>
      </left>
      <right style="thin">
        <color rgb="FF0000FF"/>
      </right>
      <top/>
      <bottom style="thin">
        <color rgb="FF0000FF"/>
      </bottom>
      <diagonal/>
    </border>
    <border>
      <left style="hair">
        <color auto="1"/>
      </left>
      <right style="hair">
        <color auto="1"/>
      </right>
      <top style="hair">
        <color auto="1"/>
      </top>
      <bottom style="hair">
        <color auto="1"/>
      </bottom>
      <diagonal/>
    </border>
    <border>
      <left style="thin">
        <color rgb="FF0000FF"/>
      </left>
      <right style="hair">
        <color auto="1"/>
      </right>
      <top style="hair">
        <color auto="1"/>
      </top>
      <bottom/>
      <diagonal/>
    </border>
    <border>
      <left style="thin">
        <color rgb="FF0000FF"/>
      </left>
      <right style="hair">
        <color auto="1"/>
      </right>
      <top/>
      <bottom/>
      <diagonal/>
    </border>
    <border>
      <left style="thin">
        <color rgb="FF0000FF"/>
      </left>
      <right style="hair">
        <color auto="1"/>
      </right>
      <top/>
      <bottom style="hair">
        <color auto="1"/>
      </bottom>
      <diagonal/>
    </border>
    <border>
      <left style="hair">
        <color auto="1"/>
      </left>
      <right style="hair">
        <color auto="1"/>
      </right>
      <top style="hair">
        <color auto="1"/>
      </top>
      <bottom style="thin">
        <color rgb="FF0000FF"/>
      </bottom>
      <diagonal/>
    </border>
    <border>
      <left/>
      <right style="thin">
        <color auto="1"/>
      </right>
      <top/>
      <bottom style="hair">
        <color indexed="64"/>
      </bottom>
      <diagonal/>
    </border>
    <border>
      <left style="hair">
        <color auto="1"/>
      </left>
      <right style="hair">
        <color auto="1"/>
      </right>
      <top style="hair">
        <color auto="1"/>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hair">
        <color indexed="64"/>
      </left>
      <right style="thin">
        <color indexed="64"/>
      </right>
      <top/>
      <bottom style="hair">
        <color indexed="64"/>
      </bottom>
      <diagonal/>
    </border>
    <border>
      <left style="hair">
        <color indexed="64"/>
      </left>
      <right style="thin">
        <color indexed="64"/>
      </right>
      <top style="thin">
        <color indexed="64"/>
      </top>
      <bottom style="hair">
        <color indexed="64"/>
      </bottom>
      <diagonal/>
    </border>
    <border>
      <left style="thin">
        <color auto="1"/>
      </left>
      <right style="hair">
        <color auto="1"/>
      </right>
      <top style="thin">
        <color auto="1"/>
      </top>
      <bottom/>
      <diagonal/>
    </border>
    <border>
      <left style="thin">
        <color auto="1"/>
      </left>
      <right style="hair">
        <color auto="1"/>
      </right>
      <top/>
      <bottom/>
      <diagonal/>
    </border>
  </borders>
  <cellStyleXfs count="129">
    <xf numFmtId="0" fontId="0" fillId="0" borderId="0">
      <alignment vertical="center"/>
    </xf>
    <xf numFmtId="0" fontId="1" fillId="0" borderId="0">
      <alignment vertical="center"/>
    </xf>
    <xf numFmtId="0" fontId="14" fillId="0" borderId="0" applyNumberFormat="0" applyAlignment="0" applyProtection="0">
      <alignment vertical="center"/>
    </xf>
    <xf numFmtId="0" fontId="40" fillId="0" borderId="0">
      <alignment vertical="center"/>
    </xf>
    <xf numFmtId="0" fontId="5" fillId="0" borderId="0">
      <alignment vertical="center"/>
    </xf>
    <xf numFmtId="0" fontId="12" fillId="2" borderId="0" applyNumberFormat="0" applyAlignment="0" applyProtection="0">
      <alignment vertical="center"/>
    </xf>
    <xf numFmtId="0" fontId="12" fillId="3" borderId="0" applyNumberFormat="0" applyAlignment="0" applyProtection="0">
      <alignment vertical="center"/>
    </xf>
    <xf numFmtId="0" fontId="12" fillId="4" borderId="0" applyNumberFormat="0" applyAlignment="0" applyProtection="0">
      <alignment vertical="center"/>
    </xf>
    <xf numFmtId="0" fontId="12" fillId="5" borderId="0" applyNumberFormat="0" applyAlignment="0" applyProtection="0">
      <alignment vertical="center"/>
    </xf>
    <xf numFmtId="0" fontId="12" fillId="6" borderId="0" applyNumberFormat="0" applyAlignment="0" applyProtection="0">
      <alignment vertical="center"/>
    </xf>
    <xf numFmtId="0" fontId="12" fillId="7" borderId="0" applyNumberFormat="0" applyAlignment="0" applyProtection="0">
      <alignment vertical="center"/>
    </xf>
    <xf numFmtId="0" fontId="12" fillId="8" borderId="0" applyNumberFormat="0" applyAlignment="0" applyProtection="0">
      <alignment vertical="center"/>
    </xf>
    <xf numFmtId="0" fontId="12" fillId="9" borderId="0" applyNumberFormat="0" applyAlignment="0" applyProtection="0">
      <alignment vertical="center"/>
    </xf>
    <xf numFmtId="0" fontId="12" fillId="10" borderId="0" applyNumberFormat="0" applyAlignment="0" applyProtection="0">
      <alignment vertical="center"/>
    </xf>
    <xf numFmtId="0" fontId="12" fillId="5" borderId="0" applyNumberFormat="0" applyAlignment="0" applyProtection="0">
      <alignment vertical="center"/>
    </xf>
    <xf numFmtId="0" fontId="12" fillId="8" borderId="0" applyNumberFormat="0" applyAlignment="0" applyProtection="0">
      <alignment vertical="center"/>
    </xf>
    <xf numFmtId="0" fontId="12" fillId="11" borderId="0" applyNumberFormat="0" applyAlignment="0" applyProtection="0">
      <alignment vertical="center"/>
    </xf>
    <xf numFmtId="0" fontId="15" fillId="12" borderId="0" applyNumberFormat="0" applyAlignment="0" applyProtection="0">
      <alignment vertical="center"/>
    </xf>
    <xf numFmtId="0" fontId="15" fillId="9" borderId="0" applyNumberFormat="0" applyAlignment="0" applyProtection="0">
      <alignment vertical="center"/>
    </xf>
    <xf numFmtId="0" fontId="15" fillId="10" borderId="0" applyNumberFormat="0" applyAlignment="0" applyProtection="0">
      <alignment vertical="center"/>
    </xf>
    <xf numFmtId="0" fontId="15" fillId="13" borderId="0" applyNumberFormat="0" applyAlignment="0" applyProtection="0">
      <alignment vertical="center"/>
    </xf>
    <xf numFmtId="0" fontId="15" fillId="14" borderId="0" applyNumberFormat="0" applyAlignment="0" applyProtection="0">
      <alignment vertical="center"/>
    </xf>
    <xf numFmtId="0" fontId="15" fillId="15" borderId="0" applyNumberFormat="0" applyAlignment="0" applyProtection="0">
      <alignment vertical="center"/>
    </xf>
    <xf numFmtId="0" fontId="15" fillId="16" borderId="0" applyNumberFormat="0" applyAlignment="0" applyProtection="0">
      <alignment vertical="center"/>
    </xf>
    <xf numFmtId="0" fontId="15" fillId="17" borderId="0" applyNumberFormat="0" applyAlignment="0" applyProtection="0">
      <alignment vertical="center"/>
    </xf>
    <xf numFmtId="0" fontId="15" fillId="18" borderId="0" applyNumberFormat="0" applyAlignment="0" applyProtection="0">
      <alignment vertical="center"/>
    </xf>
    <xf numFmtId="0" fontId="15" fillId="13" borderId="0" applyNumberFormat="0" applyAlignment="0" applyProtection="0">
      <alignment vertical="center"/>
    </xf>
    <xf numFmtId="0" fontId="15" fillId="14" borderId="0" applyNumberFormat="0" applyAlignment="0" applyProtection="0">
      <alignment vertical="center"/>
    </xf>
    <xf numFmtId="0" fontId="15" fillId="19" borderId="0" applyNumberFormat="0" applyAlignment="0" applyProtection="0">
      <alignment vertical="center"/>
    </xf>
    <xf numFmtId="0" fontId="16" fillId="0" borderId="0" applyNumberFormat="0" applyAlignment="0" applyProtection="0">
      <alignment vertical="center"/>
    </xf>
    <xf numFmtId="0" fontId="17" fillId="20" borderId="1" applyNumberFormat="0" applyAlignment="0" applyProtection="0">
      <alignment vertical="center"/>
    </xf>
    <xf numFmtId="0" fontId="18" fillId="21" borderId="0" applyNumberFormat="0" applyAlignment="0" applyProtection="0">
      <alignment vertical="center"/>
    </xf>
    <xf numFmtId="9" fontId="40" fillId="0" borderId="0" applyFont="0" applyAlignment="0" applyProtection="0"/>
    <xf numFmtId="0" fontId="12" fillId="22" borderId="2" applyNumberFormat="0" applyFont="0" applyAlignment="0" applyProtection="0">
      <alignment vertical="center"/>
    </xf>
    <xf numFmtId="0" fontId="19" fillId="0" borderId="3" applyNumberFormat="0" applyAlignment="0" applyProtection="0">
      <alignment vertical="center"/>
    </xf>
    <xf numFmtId="0" fontId="20" fillId="3" borderId="0" applyNumberFormat="0" applyAlignment="0" applyProtection="0">
      <alignment vertical="center"/>
    </xf>
    <xf numFmtId="0" fontId="21" fillId="23" borderId="4" applyNumberFormat="0" applyAlignment="0" applyProtection="0">
      <alignment vertical="center"/>
    </xf>
    <xf numFmtId="0" fontId="11" fillId="0" borderId="0" applyNumberFormat="0" applyAlignment="0" applyProtection="0">
      <alignment vertical="center"/>
    </xf>
    <xf numFmtId="38" fontId="40" fillId="0" borderId="0" applyFont="0" applyAlignment="0" applyProtection="0"/>
    <xf numFmtId="0" fontId="22" fillId="0" borderId="5" applyNumberFormat="0" applyAlignment="0" applyProtection="0">
      <alignment vertical="center"/>
    </xf>
    <xf numFmtId="0" fontId="23" fillId="0" borderId="6" applyNumberFormat="0" applyAlignment="0" applyProtection="0">
      <alignment vertical="center"/>
    </xf>
    <xf numFmtId="0" fontId="24" fillId="0" borderId="7" applyNumberFormat="0" applyAlignment="0" applyProtection="0">
      <alignment vertical="center"/>
    </xf>
    <xf numFmtId="0" fontId="24" fillId="0" borderId="0" applyNumberFormat="0" applyAlignment="0" applyProtection="0">
      <alignment vertical="center"/>
    </xf>
    <xf numFmtId="0" fontId="25" fillId="0" borderId="8" applyNumberFormat="0" applyAlignment="0" applyProtection="0">
      <alignment vertical="center"/>
    </xf>
    <xf numFmtId="0" fontId="26" fillId="23" borderId="9" applyNumberFormat="0" applyAlignment="0" applyProtection="0">
      <alignment vertical="center"/>
    </xf>
    <xf numFmtId="0" fontId="27" fillId="0" borderId="0" applyNumberFormat="0" applyAlignment="0" applyProtection="0">
      <alignment vertical="center"/>
    </xf>
    <xf numFmtId="6" fontId="5" fillId="0" borderId="0" applyFont="0" applyAlignment="0" applyProtection="0">
      <alignment vertical="center"/>
    </xf>
    <xf numFmtId="6" fontId="40" fillId="0" borderId="0" applyFont="0" applyAlignment="0" applyProtection="0"/>
    <xf numFmtId="0" fontId="28" fillId="7" borderId="4" applyNumberFormat="0" applyAlignment="0" applyProtection="0">
      <alignment vertical="center"/>
    </xf>
    <xf numFmtId="0" fontId="8" fillId="0" borderId="0"/>
    <xf numFmtId="0" fontId="40" fillId="0" borderId="0">
      <alignment vertical="center"/>
    </xf>
    <xf numFmtId="0" fontId="40" fillId="0" borderId="0"/>
    <xf numFmtId="0" fontId="40" fillId="0" borderId="0"/>
    <xf numFmtId="0" fontId="40" fillId="0" borderId="0">
      <alignment vertical="center"/>
    </xf>
    <xf numFmtId="0" fontId="29" fillId="4" borderId="0" applyNumberFormat="0" applyAlignment="0" applyProtection="0">
      <alignment vertical="center"/>
    </xf>
    <xf numFmtId="0" fontId="12" fillId="0" borderId="0">
      <alignment vertical="center"/>
    </xf>
    <xf numFmtId="0" fontId="40" fillId="0" borderId="0">
      <alignment vertical="center"/>
    </xf>
    <xf numFmtId="0" fontId="8" fillId="0" borderId="0"/>
    <xf numFmtId="0" fontId="40" fillId="0" borderId="0"/>
    <xf numFmtId="9" fontId="40" fillId="0" borderId="0" applyFont="0" applyAlignment="0" applyProtection="0"/>
    <xf numFmtId="9" fontId="40" fillId="0" borderId="0" applyFont="0" applyAlignment="0" applyProtection="0">
      <alignment vertical="center"/>
    </xf>
    <xf numFmtId="6" fontId="2" fillId="0" borderId="0" applyFont="0" applyAlignment="0" applyProtection="0">
      <alignment vertical="center"/>
    </xf>
    <xf numFmtId="6" fontId="2" fillId="0" borderId="0" applyFont="0" applyAlignment="0" applyProtection="0">
      <alignment vertical="center"/>
    </xf>
    <xf numFmtId="6" fontId="2" fillId="0" borderId="0" applyFont="0" applyAlignment="0" applyProtection="0">
      <alignment vertical="center"/>
    </xf>
    <xf numFmtId="6" fontId="2" fillId="0" borderId="0" applyFont="0" applyAlignment="0" applyProtection="0">
      <alignment vertical="center"/>
    </xf>
    <xf numFmtId="6" fontId="2" fillId="0" borderId="0" applyFont="0" applyAlignment="0" applyProtection="0">
      <alignment vertical="center"/>
    </xf>
    <xf numFmtId="6" fontId="40" fillId="0" borderId="0" applyFont="0" applyAlignment="0" applyProtection="0"/>
    <xf numFmtId="6" fontId="2" fillId="0" borderId="0" applyFont="0" applyAlignment="0" applyProtection="0">
      <alignment vertical="center"/>
    </xf>
    <xf numFmtId="6" fontId="40" fillId="0" borderId="0" applyFont="0" applyAlignment="0" applyProtection="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8" fillId="0" borderId="0"/>
    <xf numFmtId="0" fontId="1" fillId="0" borderId="0">
      <alignment vertical="center"/>
    </xf>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1" fillId="0" borderId="0">
      <alignment vertical="center"/>
    </xf>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1" fillId="0" borderId="0">
      <alignment vertical="center"/>
    </xf>
    <xf numFmtId="0" fontId="1" fillId="0" borderId="0">
      <alignment vertical="center"/>
    </xf>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alignment vertical="center"/>
    </xf>
    <xf numFmtId="0" fontId="40" fillId="0" borderId="0">
      <alignment vertical="center"/>
    </xf>
    <xf numFmtId="0" fontId="8" fillId="0" borderId="0"/>
    <xf numFmtId="0" fontId="40" fillId="0" borderId="0">
      <alignment vertical="center"/>
    </xf>
    <xf numFmtId="0" fontId="40" fillId="0" borderId="0">
      <alignment vertical="center"/>
    </xf>
    <xf numFmtId="0" fontId="40" fillId="0" borderId="0">
      <alignment vertical="center"/>
    </xf>
    <xf numFmtId="0" fontId="12" fillId="0" borderId="0">
      <alignment vertical="center"/>
    </xf>
    <xf numFmtId="0" fontId="8" fillId="0" borderId="0"/>
    <xf numFmtId="0" fontId="5" fillId="0" borderId="0">
      <alignment vertical="center"/>
    </xf>
    <xf numFmtId="0" fontId="40" fillId="0" borderId="0"/>
    <xf numFmtId="0" fontId="40" fillId="0" borderId="0"/>
    <xf numFmtId="9" fontId="31" fillId="0" borderId="0">
      <alignment vertical="center"/>
    </xf>
    <xf numFmtId="0" fontId="1" fillId="0" borderId="0">
      <alignment vertical="center"/>
    </xf>
    <xf numFmtId="0" fontId="1" fillId="0" borderId="0">
      <alignment vertical="center"/>
    </xf>
    <xf numFmtId="0" fontId="32" fillId="0" borderId="0">
      <alignment vertical="center"/>
    </xf>
    <xf numFmtId="0" fontId="1" fillId="0" borderId="0">
      <alignment vertical="center"/>
    </xf>
    <xf numFmtId="0" fontId="40" fillId="0" borderId="0">
      <alignment vertical="center"/>
    </xf>
    <xf numFmtId="0" fontId="40" fillId="0" borderId="0">
      <alignment vertical="center"/>
    </xf>
    <xf numFmtId="0" fontId="1" fillId="0" borderId="0">
      <alignment vertical="center"/>
    </xf>
    <xf numFmtId="0" fontId="31" fillId="2" borderId="0">
      <alignment vertical="center"/>
    </xf>
  </cellStyleXfs>
  <cellXfs count="312">
    <xf numFmtId="0" fontId="0" fillId="0" borderId="0" xfId="0" applyNumberFormat="1" applyFont="1" applyFill="1" applyBorder="1" applyAlignment="1" applyProtection="1">
      <alignment vertical="center"/>
    </xf>
    <xf numFmtId="0" fontId="3" fillId="24" borderId="10" xfId="0" applyNumberFormat="1" applyFont="1" applyFill="1" applyBorder="1" applyAlignment="1" applyProtection="1">
      <alignment vertical="center" wrapText="1"/>
    </xf>
    <xf numFmtId="0" fontId="4" fillId="0" borderId="0" xfId="0" applyNumberFormat="1" applyFont="1" applyFill="1" applyBorder="1" applyAlignment="1" applyProtection="1">
      <alignment vertical="center"/>
    </xf>
    <xf numFmtId="0" fontId="6" fillId="25" borderId="11" xfId="0" applyNumberFormat="1" applyFont="1" applyFill="1" applyBorder="1" applyAlignment="1" applyProtection="1">
      <alignment horizontal="center" vertical="center"/>
      <protection locked="0" hidden="1"/>
    </xf>
    <xf numFmtId="0" fontId="7" fillId="26" borderId="11" xfId="0" applyNumberFormat="1" applyFont="1" applyFill="1" applyBorder="1" applyAlignment="1" applyProtection="1">
      <alignment horizontal="right" vertical="center"/>
      <protection locked="0" hidden="1"/>
    </xf>
    <xf numFmtId="0" fontId="7" fillId="27" borderId="11" xfId="0" applyNumberFormat="1" applyFont="1" applyFill="1" applyBorder="1" applyAlignment="1" applyProtection="1">
      <alignment vertical="center"/>
      <protection locked="0" hidden="1"/>
    </xf>
    <xf numFmtId="0" fontId="3" fillId="27" borderId="10" xfId="0" applyNumberFormat="1" applyFont="1" applyFill="1" applyBorder="1" applyAlignment="1" applyProtection="1">
      <alignment vertical="center" wrapText="1"/>
    </xf>
    <xf numFmtId="49" fontId="0" fillId="0" borderId="0" xfId="0" applyNumberFormat="1" applyFont="1" applyFill="1" applyBorder="1" applyAlignment="1" applyProtection="1">
      <alignment vertical="center"/>
    </xf>
    <xf numFmtId="0" fontId="0" fillId="28" borderId="0" xfId="0" applyNumberFormat="1" applyFont="1" applyFill="1" applyBorder="1" applyAlignment="1" applyProtection="1">
      <alignment vertical="center"/>
    </xf>
    <xf numFmtId="0" fontId="0" fillId="26" borderId="0" xfId="0" applyNumberFormat="1" applyFont="1" applyFill="1" applyBorder="1" applyAlignment="1" applyProtection="1">
      <alignment vertical="center"/>
    </xf>
    <xf numFmtId="0" fontId="0" fillId="29" borderId="0" xfId="0" applyNumberFormat="1" applyFont="1" applyFill="1" applyBorder="1" applyAlignment="1" applyProtection="1">
      <alignment vertical="center"/>
    </xf>
    <xf numFmtId="0" fontId="3" fillId="24" borderId="12" xfId="0" applyNumberFormat="1" applyFont="1" applyFill="1" applyBorder="1" applyAlignment="1" applyProtection="1">
      <alignment vertical="center" wrapText="1"/>
    </xf>
    <xf numFmtId="0" fontId="3" fillId="24" borderId="13" xfId="0" applyNumberFormat="1" applyFont="1" applyFill="1" applyBorder="1" applyAlignment="1" applyProtection="1">
      <alignment vertical="center" wrapText="1"/>
    </xf>
    <xf numFmtId="0" fontId="3" fillId="27" borderId="12" xfId="0" applyNumberFormat="1" applyFont="1" applyFill="1" applyBorder="1" applyAlignment="1" applyProtection="1">
      <alignment vertical="center" wrapText="1"/>
    </xf>
    <xf numFmtId="0" fontId="5" fillId="0" borderId="0" xfId="0" applyNumberFormat="1" applyFont="1" applyFill="1" applyBorder="1" applyAlignment="1" applyProtection="1">
      <alignment vertical="center"/>
    </xf>
    <xf numFmtId="0" fontId="5" fillId="0" borderId="0" xfId="0" applyNumberFormat="1" applyFont="1" applyFill="1" applyBorder="1" applyAlignment="1" applyProtection="1">
      <alignment horizontal="left" vertical="center" wrapText="1"/>
    </xf>
    <xf numFmtId="0" fontId="5" fillId="0" borderId="0" xfId="0" applyNumberFormat="1" applyFont="1" applyFill="1" applyBorder="1" applyAlignment="1" applyProtection="1">
      <alignment horizontal="left" vertical="center"/>
    </xf>
    <xf numFmtId="0" fontId="11" fillId="0" borderId="0" xfId="0" applyNumberFormat="1" applyFont="1" applyFill="1" applyBorder="1" applyAlignment="1" applyProtection="1">
      <alignment horizontal="left" vertical="center"/>
    </xf>
    <xf numFmtId="0" fontId="3" fillId="0" borderId="0" xfId="0" applyNumberFormat="1" applyFont="1" applyFill="1" applyBorder="1" applyAlignment="1" applyProtection="1">
      <alignment vertical="center"/>
    </xf>
    <xf numFmtId="0" fontId="3" fillId="0" borderId="0" xfId="0" applyNumberFormat="1" applyFont="1" applyFill="1" applyBorder="1" applyAlignment="1" applyProtection="1">
      <alignment horizontal="left" vertical="center"/>
    </xf>
    <xf numFmtId="0" fontId="1" fillId="0" borderId="0" xfId="1" applyNumberFormat="1" applyFont="1" applyFill="1" applyBorder="1" applyAlignment="1" applyProtection="1">
      <alignment vertical="center"/>
    </xf>
    <xf numFmtId="0" fontId="14" fillId="0" borderId="0" xfId="2" applyNumberFormat="1" applyFont="1" applyFill="1" applyBorder="1" applyAlignment="1" applyProtection="1">
      <alignment vertical="center"/>
    </xf>
    <xf numFmtId="0" fontId="9" fillId="0" borderId="0" xfId="1" applyNumberFormat="1" applyFont="1" applyFill="1" applyBorder="1" applyAlignment="1" applyProtection="1">
      <alignment vertical="center"/>
      <protection locked="0"/>
    </xf>
    <xf numFmtId="0" fontId="14" fillId="0" borderId="0" xfId="2" applyNumberFormat="1" applyFont="1" applyFill="1" applyBorder="1" applyAlignment="1" applyProtection="1">
      <alignment horizontal="center" vertical="center"/>
    </xf>
    <xf numFmtId="0" fontId="0" fillId="0" borderId="0" xfId="1" applyNumberFormat="1" applyFont="1" applyFill="1" applyBorder="1" applyAlignment="1" applyProtection="1">
      <alignment vertical="center"/>
      <protection locked="0"/>
    </xf>
    <xf numFmtId="49" fontId="1" fillId="0" borderId="0" xfId="1" applyNumberFormat="1" applyFont="1" applyFill="1" applyBorder="1" applyAlignment="1" applyProtection="1">
      <alignment vertical="center"/>
    </xf>
    <xf numFmtId="0" fontId="10" fillId="0" borderId="0" xfId="1" applyNumberFormat="1" applyFont="1" applyFill="1" applyBorder="1" applyAlignment="1" applyProtection="1">
      <alignment vertical="center"/>
    </xf>
    <xf numFmtId="0" fontId="1" fillId="0" borderId="0" xfId="1" applyNumberFormat="1" applyFont="1" applyFill="1" applyBorder="1" applyAlignment="1" applyProtection="1">
      <alignment horizontal="center" vertical="center"/>
    </xf>
    <xf numFmtId="0" fontId="3" fillId="0" borderId="11" xfId="3" applyNumberFormat="1" applyFont="1" applyFill="1" applyBorder="1" applyAlignment="1" applyProtection="1">
      <alignment vertical="center"/>
      <protection locked="0"/>
    </xf>
    <xf numFmtId="0" fontId="3" fillId="24" borderId="0" xfId="0" applyNumberFormat="1" applyFont="1" applyFill="1" applyBorder="1" applyAlignment="1" applyProtection="1">
      <alignment vertical="center" wrapText="1"/>
    </xf>
    <xf numFmtId="0" fontId="3" fillId="24" borderId="14" xfId="0" applyNumberFormat="1" applyFont="1" applyFill="1" applyBorder="1" applyAlignment="1" applyProtection="1">
      <alignment vertical="center" wrapText="1"/>
    </xf>
    <xf numFmtId="0" fontId="3" fillId="24" borderId="15" xfId="0" applyNumberFormat="1" applyFont="1" applyFill="1" applyBorder="1" applyAlignment="1" applyProtection="1">
      <alignment vertical="center" wrapText="1"/>
    </xf>
    <xf numFmtId="0" fontId="3" fillId="24" borderId="10" xfId="0" applyNumberFormat="1" applyFont="1" applyFill="1" applyBorder="1" applyAlignment="1" applyProtection="1">
      <alignment vertical="center" shrinkToFit="1"/>
    </xf>
    <xf numFmtId="0" fontId="3" fillId="24" borderId="13" xfId="0" applyNumberFormat="1" applyFont="1" applyFill="1" applyBorder="1" applyAlignment="1" applyProtection="1">
      <alignment vertical="center" shrinkToFit="1"/>
    </xf>
    <xf numFmtId="0" fontId="3" fillId="30" borderId="0" xfId="0" applyNumberFormat="1" applyFont="1" applyFill="1" applyBorder="1" applyAlignment="1" applyProtection="1">
      <alignment vertical="center" wrapText="1"/>
    </xf>
    <xf numFmtId="0" fontId="30" fillId="0" borderId="0" xfId="0" applyNumberFormat="1" applyFont="1" applyFill="1" applyBorder="1" applyAlignment="1" applyProtection="1">
      <alignment vertical="center"/>
    </xf>
    <xf numFmtId="49" fontId="3" fillId="0" borderId="0" xfId="0" applyNumberFormat="1" applyFont="1" applyFill="1" applyBorder="1" applyAlignment="1" applyProtection="1">
      <alignment horizontal="left" vertical="center"/>
    </xf>
    <xf numFmtId="0" fontId="3" fillId="0" borderId="0" xfId="0" applyNumberFormat="1" applyFont="1" applyFill="1" applyBorder="1" applyAlignment="1" applyProtection="1">
      <alignment horizontal="left" vertical="top"/>
    </xf>
    <xf numFmtId="0" fontId="3" fillId="0" borderId="0" xfId="0" applyNumberFormat="1" applyFont="1" applyFill="1" applyBorder="1" applyAlignment="1" applyProtection="1">
      <alignment horizontal="left" vertical="top" wrapText="1"/>
    </xf>
    <xf numFmtId="49" fontId="3" fillId="30" borderId="12" xfId="0" applyNumberFormat="1" applyFont="1" applyFill="1" applyBorder="1" applyAlignment="1" applyProtection="1">
      <alignment horizontal="left" vertical="center"/>
    </xf>
    <xf numFmtId="49" fontId="3" fillId="30" borderId="15" xfId="0" applyNumberFormat="1" applyFont="1" applyFill="1" applyBorder="1" applyAlignment="1" applyProtection="1">
      <alignment horizontal="left" vertical="center"/>
    </xf>
    <xf numFmtId="49" fontId="3" fillId="30" borderId="12" xfId="0" applyNumberFormat="1" applyFont="1" applyFill="1" applyBorder="1" applyAlignment="1" applyProtection="1">
      <alignment horizontal="left" vertical="top"/>
    </xf>
    <xf numFmtId="49" fontId="3" fillId="30" borderId="16" xfId="0" applyNumberFormat="1" applyFont="1" applyFill="1" applyBorder="1" applyAlignment="1" applyProtection="1">
      <alignment horizontal="left" vertical="center"/>
    </xf>
    <xf numFmtId="49" fontId="3" fillId="30" borderId="17" xfId="0" applyNumberFormat="1" applyFont="1" applyFill="1" applyBorder="1" applyAlignment="1" applyProtection="1">
      <alignment horizontal="left" vertical="center"/>
    </xf>
    <xf numFmtId="0" fontId="3" fillId="30" borderId="18" xfId="0" applyNumberFormat="1" applyFont="1" applyFill="1" applyBorder="1" applyAlignment="1" applyProtection="1">
      <alignment vertical="center"/>
    </xf>
    <xf numFmtId="0" fontId="3" fillId="24" borderId="18" xfId="0" applyNumberFormat="1" applyFont="1" applyFill="1" applyBorder="1" applyAlignment="1" applyProtection="1">
      <alignment vertical="center" wrapText="1"/>
    </xf>
    <xf numFmtId="0" fontId="3" fillId="30" borderId="0" xfId="0" applyNumberFormat="1" applyFont="1" applyFill="1" applyBorder="1" applyAlignment="1" applyProtection="1">
      <alignment vertical="center"/>
    </xf>
    <xf numFmtId="0" fontId="3" fillId="24" borderId="16" xfId="0" applyNumberFormat="1" applyFont="1" applyFill="1" applyBorder="1" applyAlignment="1" applyProtection="1">
      <alignment vertical="center" wrapText="1"/>
    </xf>
    <xf numFmtId="0" fontId="3" fillId="30" borderId="10" xfId="0" applyNumberFormat="1" applyFont="1" applyFill="1" applyBorder="1" applyAlignment="1" applyProtection="1">
      <alignment vertical="center" wrapText="1"/>
    </xf>
    <xf numFmtId="0" fontId="3" fillId="30" borderId="14" xfId="0" applyNumberFormat="1" applyFont="1" applyFill="1" applyBorder="1" applyAlignment="1" applyProtection="1">
      <alignment vertical="center" wrapText="1"/>
    </xf>
    <xf numFmtId="0" fontId="3" fillId="30" borderId="10" xfId="0" applyNumberFormat="1" applyFont="1" applyFill="1" applyBorder="1" applyAlignment="1" applyProtection="1">
      <alignment vertical="center"/>
    </xf>
    <xf numFmtId="0" fontId="3" fillId="30" borderId="14" xfId="0" applyNumberFormat="1" applyFont="1" applyFill="1" applyBorder="1" applyAlignment="1" applyProtection="1">
      <alignment vertical="center"/>
    </xf>
    <xf numFmtId="0" fontId="3" fillId="30" borderId="12" xfId="0" applyNumberFormat="1" applyFont="1" applyFill="1" applyBorder="1" applyAlignment="1" applyProtection="1">
      <alignment vertical="center"/>
    </xf>
    <xf numFmtId="0" fontId="3" fillId="30" borderId="13" xfId="0" applyNumberFormat="1" applyFont="1" applyFill="1" applyBorder="1" applyAlignment="1" applyProtection="1">
      <alignment vertical="center"/>
    </xf>
    <xf numFmtId="0" fontId="3" fillId="31" borderId="10" xfId="0" applyNumberFormat="1" applyFont="1" applyFill="1" applyBorder="1" applyAlignment="1" applyProtection="1">
      <alignment vertical="center" wrapText="1"/>
    </xf>
    <xf numFmtId="0" fontId="3" fillId="31" borderId="14" xfId="0" applyNumberFormat="1" applyFont="1" applyFill="1" applyBorder="1" applyAlignment="1" applyProtection="1">
      <alignment vertical="center" wrapText="1"/>
    </xf>
    <xf numFmtId="0" fontId="3" fillId="31" borderId="18" xfId="0" applyNumberFormat="1" applyFont="1" applyFill="1" applyBorder="1" applyAlignment="1" applyProtection="1">
      <alignment vertical="center" wrapText="1"/>
    </xf>
    <xf numFmtId="0" fontId="3" fillId="31" borderId="19" xfId="0" applyNumberFormat="1" applyFont="1" applyFill="1" applyBorder="1" applyAlignment="1" applyProtection="1">
      <alignment vertical="center" wrapText="1"/>
    </xf>
    <xf numFmtId="0" fontId="3" fillId="31" borderId="20" xfId="0" applyNumberFormat="1" applyFont="1" applyFill="1" applyBorder="1" applyAlignment="1" applyProtection="1">
      <alignment vertical="center" wrapText="1"/>
    </xf>
    <xf numFmtId="0" fontId="3" fillId="0" borderId="0" xfId="0" applyNumberFormat="1" applyFont="1" applyFill="1" applyBorder="1" applyAlignment="1" applyProtection="1">
      <alignment horizontal="left" vertical="center" wrapText="1"/>
    </xf>
    <xf numFmtId="0" fontId="3" fillId="30" borderId="21" xfId="0" applyNumberFormat="1" applyFont="1" applyFill="1" applyBorder="1" applyAlignment="1" applyProtection="1">
      <alignment vertical="center" wrapText="1"/>
    </xf>
    <xf numFmtId="0" fontId="3" fillId="31" borderId="17" xfId="0" applyNumberFormat="1" applyFont="1" applyFill="1" applyBorder="1" applyAlignment="1" applyProtection="1">
      <alignment vertical="center" wrapText="1"/>
    </xf>
    <xf numFmtId="0" fontId="3" fillId="24" borderId="0" xfId="0" applyNumberFormat="1" applyFont="1" applyFill="1" applyBorder="1" applyAlignment="1" applyProtection="1">
      <alignment vertical="center"/>
    </xf>
    <xf numFmtId="0" fontId="3" fillId="31" borderId="12" xfId="0" applyNumberFormat="1" applyFont="1" applyFill="1" applyBorder="1" applyAlignment="1" applyProtection="1">
      <alignment vertical="center"/>
    </xf>
    <xf numFmtId="0" fontId="3" fillId="31" borderId="13" xfId="0" applyNumberFormat="1" applyFont="1" applyFill="1" applyBorder="1" applyAlignment="1" applyProtection="1">
      <alignment vertical="center"/>
    </xf>
    <xf numFmtId="0" fontId="3" fillId="30" borderId="22" xfId="0" applyNumberFormat="1" applyFont="1" applyFill="1" applyBorder="1" applyAlignment="1" applyProtection="1">
      <alignment vertical="center"/>
    </xf>
    <xf numFmtId="0" fontId="3" fillId="31" borderId="16" xfId="0" applyNumberFormat="1" applyFont="1" applyFill="1" applyBorder="1" applyAlignment="1" applyProtection="1">
      <alignment horizontal="left" vertical="center"/>
    </xf>
    <xf numFmtId="0" fontId="5" fillId="32" borderId="0" xfId="0" applyNumberFormat="1" applyFont="1" applyFill="1" applyBorder="1" applyAlignment="1" applyProtection="1">
      <alignment horizontal="left" vertical="center"/>
    </xf>
    <xf numFmtId="0" fontId="3" fillId="30" borderId="15" xfId="0" applyNumberFormat="1" applyFont="1" applyFill="1" applyBorder="1" applyAlignment="1" applyProtection="1">
      <alignment vertical="center"/>
    </xf>
    <xf numFmtId="0" fontId="3" fillId="24" borderId="23" xfId="0" applyNumberFormat="1" applyFont="1" applyFill="1" applyBorder="1" applyAlignment="1" applyProtection="1">
      <alignment vertical="center" wrapText="1"/>
    </xf>
    <xf numFmtId="0" fontId="3" fillId="24" borderId="24" xfId="0" applyNumberFormat="1" applyFont="1" applyFill="1" applyBorder="1" applyAlignment="1" applyProtection="1">
      <alignment vertical="center" wrapText="1"/>
    </xf>
    <xf numFmtId="0" fontId="3" fillId="24" borderId="17" xfId="0" applyNumberFormat="1" applyFont="1" applyFill="1" applyBorder="1" applyAlignment="1" applyProtection="1">
      <alignment vertical="center" wrapText="1"/>
    </xf>
    <xf numFmtId="0" fontId="3" fillId="24" borderId="25" xfId="0" applyNumberFormat="1" applyFont="1" applyFill="1" applyBorder="1" applyAlignment="1" applyProtection="1">
      <alignment vertical="center" wrapText="1"/>
    </xf>
    <xf numFmtId="0" fontId="3" fillId="24" borderId="26" xfId="0" applyNumberFormat="1" applyFont="1" applyFill="1" applyBorder="1" applyAlignment="1" applyProtection="1">
      <alignment vertical="center" wrapText="1"/>
    </xf>
    <xf numFmtId="0" fontId="3" fillId="24" borderId="27" xfId="0" applyNumberFormat="1" applyFont="1" applyFill="1" applyBorder="1" applyAlignment="1" applyProtection="1">
      <alignment vertical="center" wrapText="1"/>
    </xf>
    <xf numFmtId="49" fontId="3" fillId="30" borderId="26" xfId="0" applyNumberFormat="1" applyFont="1" applyFill="1" applyBorder="1" applyAlignment="1" applyProtection="1">
      <alignment vertical="center"/>
    </xf>
    <xf numFmtId="0" fontId="3" fillId="30" borderId="26" xfId="0" applyNumberFormat="1" applyFont="1" applyFill="1" applyBorder="1" applyAlignment="1" applyProtection="1">
      <alignment vertical="center"/>
    </xf>
    <xf numFmtId="0" fontId="3" fillId="30" borderId="27" xfId="0" applyNumberFormat="1" applyFont="1" applyFill="1" applyBorder="1" applyAlignment="1" applyProtection="1">
      <alignment vertical="center"/>
    </xf>
    <xf numFmtId="0" fontId="3" fillId="31" borderId="26" xfId="0" applyNumberFormat="1" applyFont="1" applyFill="1" applyBorder="1" applyAlignment="1" applyProtection="1">
      <alignment vertical="center" wrapText="1"/>
    </xf>
    <xf numFmtId="0" fontId="3" fillId="30" borderId="26" xfId="0" applyNumberFormat="1" applyFont="1" applyFill="1" applyBorder="1" applyAlignment="1" applyProtection="1">
      <alignment vertical="center" wrapText="1"/>
    </xf>
    <xf numFmtId="49" fontId="3" fillId="30" borderId="26" xfId="0" applyNumberFormat="1" applyFont="1" applyFill="1" applyBorder="1" applyAlignment="1" applyProtection="1">
      <alignment horizontal="left" vertical="top"/>
    </xf>
    <xf numFmtId="49" fontId="3" fillId="30" borderId="26" xfId="0" applyNumberFormat="1" applyFont="1" applyFill="1" applyBorder="1" applyAlignment="1" applyProtection="1">
      <alignment horizontal="left" vertical="center"/>
    </xf>
    <xf numFmtId="0" fontId="30" fillId="30" borderId="27" xfId="0" applyNumberFormat="1" applyFont="1" applyFill="1" applyBorder="1" applyAlignment="1" applyProtection="1">
      <alignment vertical="center"/>
    </xf>
    <xf numFmtId="0" fontId="3" fillId="30" borderId="28" xfId="0" applyNumberFormat="1" applyFont="1" applyFill="1" applyBorder="1" applyAlignment="1" applyProtection="1">
      <alignment vertical="center"/>
    </xf>
    <xf numFmtId="0" fontId="3" fillId="24" borderId="26" xfId="0" applyNumberFormat="1" applyFont="1" applyFill="1" applyBorder="1" applyAlignment="1" applyProtection="1">
      <alignment vertical="center" shrinkToFit="1"/>
    </xf>
    <xf numFmtId="0" fontId="3" fillId="30" borderId="12" xfId="0" applyNumberFormat="1" applyFont="1" applyFill="1" applyBorder="1" applyAlignment="1" applyProtection="1">
      <alignment vertical="center" wrapText="1"/>
    </xf>
    <xf numFmtId="0" fontId="3" fillId="30" borderId="13" xfId="0" applyNumberFormat="1" applyFont="1" applyFill="1" applyBorder="1" applyAlignment="1" applyProtection="1">
      <alignment vertical="center" wrapText="1"/>
    </xf>
    <xf numFmtId="0" fontId="3" fillId="30" borderId="27" xfId="0" applyNumberFormat="1" applyFont="1" applyFill="1" applyBorder="1" applyAlignment="1" applyProtection="1">
      <alignment vertical="center" wrapText="1"/>
    </xf>
    <xf numFmtId="0" fontId="3" fillId="24" borderId="29" xfId="0" applyNumberFormat="1" applyFont="1" applyFill="1" applyBorder="1" applyAlignment="1" applyProtection="1">
      <alignment vertical="center" wrapText="1"/>
    </xf>
    <xf numFmtId="0" fontId="3" fillId="24" borderId="10" xfId="0" applyNumberFormat="1" applyFont="1" applyFill="1" applyBorder="1" applyAlignment="1" applyProtection="1">
      <alignment vertical="center"/>
    </xf>
    <xf numFmtId="0" fontId="3" fillId="30" borderId="23" xfId="0" applyNumberFormat="1" applyFont="1" applyFill="1" applyBorder="1" applyAlignment="1" applyProtection="1">
      <alignment vertical="center"/>
    </xf>
    <xf numFmtId="49" fontId="3" fillId="24" borderId="12" xfId="0" applyNumberFormat="1" applyFont="1" applyFill="1" applyBorder="1" applyAlignment="1" applyProtection="1">
      <alignment vertical="center"/>
    </xf>
    <xf numFmtId="49" fontId="3" fillId="24" borderId="12" xfId="0" applyNumberFormat="1" applyFont="1" applyFill="1" applyBorder="1" applyAlignment="1" applyProtection="1">
      <alignment vertical="center" shrinkToFit="1"/>
    </xf>
    <xf numFmtId="49" fontId="3" fillId="24" borderId="13" xfId="0" applyNumberFormat="1" applyFont="1" applyFill="1" applyBorder="1" applyAlignment="1" applyProtection="1">
      <alignment vertical="center" shrinkToFit="1"/>
    </xf>
    <xf numFmtId="49" fontId="3" fillId="24" borderId="16" xfId="0" applyNumberFormat="1" applyFont="1" applyFill="1" applyBorder="1" applyAlignment="1" applyProtection="1">
      <alignment vertical="center"/>
    </xf>
    <xf numFmtId="49" fontId="3" fillId="24" borderId="25" xfId="0" applyNumberFormat="1" applyFont="1" applyFill="1" applyBorder="1" applyAlignment="1" applyProtection="1">
      <alignment vertical="center" shrinkToFit="1"/>
    </xf>
    <xf numFmtId="49" fontId="3" fillId="24" borderId="29" xfId="0" applyNumberFormat="1" applyFont="1" applyFill="1" applyBorder="1" applyAlignment="1" applyProtection="1">
      <alignment vertical="center" shrinkToFit="1"/>
    </xf>
    <xf numFmtId="49" fontId="3" fillId="24" borderId="30" xfId="0" applyNumberFormat="1" applyFont="1" applyFill="1" applyBorder="1" applyAlignment="1" applyProtection="1">
      <alignment vertical="center" shrinkToFit="1"/>
    </xf>
    <xf numFmtId="0" fontId="3" fillId="24" borderId="14" xfId="0" applyNumberFormat="1" applyFont="1" applyFill="1" applyBorder="1" applyAlignment="1" applyProtection="1">
      <alignment vertical="center" shrinkToFit="1"/>
    </xf>
    <xf numFmtId="0" fontId="3" fillId="24" borderId="22" xfId="0" applyNumberFormat="1" applyFont="1" applyFill="1" applyBorder="1" applyAlignment="1" applyProtection="1">
      <alignment vertical="center" shrinkToFit="1"/>
    </xf>
    <xf numFmtId="0" fontId="3" fillId="30" borderId="10" xfId="0" applyNumberFormat="1" applyFont="1" applyFill="1" applyBorder="1" applyAlignment="1" applyProtection="1">
      <alignment vertical="center" shrinkToFit="1"/>
    </xf>
    <xf numFmtId="0" fontId="3" fillId="30" borderId="14" xfId="0" applyNumberFormat="1" applyFont="1" applyFill="1" applyBorder="1" applyAlignment="1" applyProtection="1">
      <alignment vertical="center" shrinkToFit="1"/>
    </xf>
    <xf numFmtId="176" fontId="3" fillId="0" borderId="0" xfId="0" applyNumberFormat="1" applyFont="1" applyFill="1" applyBorder="1" applyAlignment="1" applyProtection="1">
      <alignment horizontal="left" vertical="center"/>
    </xf>
    <xf numFmtId="0" fontId="9" fillId="30" borderId="24" xfId="1" applyNumberFormat="1" applyFont="1" applyFill="1" applyBorder="1" applyAlignment="1" applyProtection="1">
      <alignment vertical="center"/>
      <protection locked="0"/>
    </xf>
    <xf numFmtId="0" fontId="9" fillId="30" borderId="0" xfId="1" applyNumberFormat="1" applyFont="1" applyFill="1" applyBorder="1" applyAlignment="1" applyProtection="1">
      <alignment vertical="center"/>
      <protection locked="0"/>
    </xf>
    <xf numFmtId="0" fontId="9" fillId="30" borderId="12" xfId="1" applyNumberFormat="1" applyFont="1" applyFill="1" applyBorder="1" applyAlignment="1" applyProtection="1">
      <alignment vertical="center"/>
      <protection locked="0"/>
    </xf>
    <xf numFmtId="0" fontId="3" fillId="30" borderId="31" xfId="0" applyNumberFormat="1" applyFont="1" applyFill="1" applyBorder="1" applyAlignment="1" applyProtection="1">
      <alignment vertical="center"/>
    </xf>
    <xf numFmtId="49" fontId="3" fillId="0" borderId="0" xfId="0" applyNumberFormat="1" applyFont="1" applyFill="1" applyBorder="1" applyAlignment="1" applyProtection="1">
      <alignment vertical="center"/>
    </xf>
    <xf numFmtId="0" fontId="3" fillId="30" borderId="32" xfId="0" applyNumberFormat="1" applyFont="1" applyFill="1" applyBorder="1" applyAlignment="1" applyProtection="1">
      <alignment vertical="center"/>
    </xf>
    <xf numFmtId="177" fontId="3" fillId="0" borderId="0" xfId="0" applyNumberFormat="1" applyFont="1" applyFill="1" applyBorder="1" applyAlignment="1" applyProtection="1">
      <alignment vertical="center"/>
    </xf>
    <xf numFmtId="177" fontId="3" fillId="0" borderId="0" xfId="0" applyNumberFormat="1" applyFont="1" applyFill="1" applyBorder="1" applyAlignment="1" applyProtection="1">
      <alignment horizontal="left" vertical="center"/>
    </xf>
    <xf numFmtId="0" fontId="3" fillId="30" borderId="24" xfId="0" applyNumberFormat="1" applyFont="1" applyFill="1" applyBorder="1" applyAlignment="1" applyProtection="1">
      <alignment vertical="center"/>
    </xf>
    <xf numFmtId="0" fontId="3" fillId="30" borderId="17" xfId="0" applyNumberFormat="1" applyFont="1" applyFill="1" applyBorder="1" applyAlignment="1" applyProtection="1">
      <alignment vertical="center"/>
    </xf>
    <xf numFmtId="0" fontId="3" fillId="31" borderId="14" xfId="0" applyNumberFormat="1" applyFont="1" applyFill="1" applyBorder="1" applyAlignment="1" applyProtection="1">
      <alignment vertical="center"/>
    </xf>
    <xf numFmtId="0" fontId="3" fillId="31" borderId="12" xfId="0" applyNumberFormat="1" applyFont="1" applyFill="1" applyBorder="1" applyAlignment="1" applyProtection="1">
      <alignment vertical="center" wrapText="1"/>
    </xf>
    <xf numFmtId="0" fontId="3" fillId="31" borderId="26" xfId="0" applyNumberFormat="1" applyFont="1" applyFill="1" applyBorder="1" applyAlignment="1" applyProtection="1">
      <alignment vertical="center"/>
    </xf>
    <xf numFmtId="0" fontId="3" fillId="31" borderId="27" xfId="0" applyNumberFormat="1" applyFont="1" applyFill="1" applyBorder="1" applyAlignment="1" applyProtection="1">
      <alignment vertical="center" wrapText="1"/>
    </xf>
    <xf numFmtId="0" fontId="3" fillId="30" borderId="26" xfId="0" applyNumberFormat="1" applyFont="1" applyFill="1" applyBorder="1" applyAlignment="1" applyProtection="1">
      <alignment horizontal="left" vertical="center"/>
    </xf>
    <xf numFmtId="0" fontId="3" fillId="31" borderId="0" xfId="0" applyNumberFormat="1" applyFont="1" applyFill="1" applyBorder="1" applyAlignment="1" applyProtection="1">
      <alignment vertical="center"/>
    </xf>
    <xf numFmtId="0" fontId="3" fillId="31" borderId="13" xfId="0" applyNumberFormat="1" applyFont="1" applyFill="1" applyBorder="1" applyAlignment="1" applyProtection="1">
      <alignment vertical="center" wrapText="1"/>
    </xf>
    <xf numFmtId="0" fontId="3" fillId="24" borderId="22" xfId="0" applyNumberFormat="1" applyFont="1" applyFill="1" applyBorder="1" applyAlignment="1" applyProtection="1">
      <alignment vertical="center" wrapText="1"/>
    </xf>
    <xf numFmtId="0" fontId="3" fillId="0" borderId="0" xfId="0" applyNumberFormat="1" applyFont="1" applyFill="1" applyBorder="1" applyAlignment="1" applyProtection="1">
      <alignment horizontal="center" vertical="center"/>
    </xf>
    <xf numFmtId="0" fontId="3" fillId="0" borderId="33" xfId="0" applyNumberFormat="1" applyFont="1" applyFill="1" applyBorder="1" applyAlignment="1" applyProtection="1">
      <alignment horizontal="left" vertical="center"/>
    </xf>
    <xf numFmtId="0" fontId="3" fillId="0" borderId="34" xfId="0" applyNumberFormat="1" applyFont="1" applyFill="1" applyBorder="1" applyAlignment="1" applyProtection="1">
      <alignment horizontal="left" vertical="center"/>
    </xf>
    <xf numFmtId="0" fontId="3" fillId="0" borderId="35" xfId="0" applyNumberFormat="1" applyFont="1" applyFill="1" applyBorder="1" applyAlignment="1" applyProtection="1">
      <alignment vertical="center"/>
    </xf>
    <xf numFmtId="0" fontId="3" fillId="33" borderId="36" xfId="0" applyNumberFormat="1" applyFont="1" applyFill="1" applyBorder="1" applyAlignment="1" applyProtection="1">
      <alignment horizontal="left" vertical="center" wrapText="1"/>
    </xf>
    <xf numFmtId="0" fontId="3" fillId="0" borderId="37" xfId="0" applyNumberFormat="1" applyFont="1" applyFill="1" applyBorder="1" applyAlignment="1" applyProtection="1">
      <alignment horizontal="left" vertical="center" wrapText="1"/>
    </xf>
    <xf numFmtId="0" fontId="3" fillId="0" borderId="38" xfId="0" applyNumberFormat="1" applyFont="1" applyFill="1" applyBorder="1" applyAlignment="1" applyProtection="1">
      <alignment horizontal="left" vertical="center" wrapText="1"/>
    </xf>
    <xf numFmtId="0" fontId="3" fillId="0" borderId="39" xfId="0" applyNumberFormat="1" applyFont="1" applyFill="1" applyBorder="1" applyAlignment="1" applyProtection="1">
      <alignment horizontal="left" vertical="center" wrapText="1"/>
    </xf>
    <xf numFmtId="0" fontId="3" fillId="0" borderId="40" xfId="0" applyNumberFormat="1" applyFont="1" applyFill="1" applyBorder="1" applyAlignment="1" applyProtection="1">
      <alignment horizontal="left" vertical="center"/>
    </xf>
    <xf numFmtId="0" fontId="3" fillId="0" borderId="35" xfId="0" applyNumberFormat="1" applyFont="1" applyFill="1" applyBorder="1" applyAlignment="1" applyProtection="1">
      <alignment horizontal="left" vertical="center"/>
    </xf>
    <xf numFmtId="0" fontId="3" fillId="0" borderId="37" xfId="0" applyNumberFormat="1" applyFont="1" applyFill="1" applyBorder="1" applyAlignment="1" applyProtection="1">
      <alignment vertical="center"/>
    </xf>
    <xf numFmtId="0" fontId="3" fillId="0" borderId="38" xfId="0" applyNumberFormat="1" applyFont="1" applyFill="1" applyBorder="1" applyAlignment="1" applyProtection="1">
      <alignment vertical="center"/>
    </xf>
    <xf numFmtId="0" fontId="3" fillId="0" borderId="39" xfId="0" applyNumberFormat="1" applyFont="1" applyFill="1" applyBorder="1" applyAlignment="1" applyProtection="1">
      <alignment vertical="center"/>
    </xf>
    <xf numFmtId="0" fontId="3" fillId="31" borderId="13" xfId="0" applyNumberFormat="1" applyFont="1" applyFill="1" applyBorder="1" applyAlignment="1" applyProtection="1">
      <alignment vertical="center"/>
    </xf>
    <xf numFmtId="0" fontId="3" fillId="31" borderId="27" xfId="0" applyNumberFormat="1" applyFont="1" applyFill="1" applyBorder="1" applyAlignment="1" applyProtection="1">
      <alignment vertical="center" wrapText="1"/>
    </xf>
    <xf numFmtId="0" fontId="3" fillId="0" borderId="21" xfId="0" applyNumberFormat="1" applyFont="1" applyFill="1" applyBorder="1" applyAlignment="1" applyProtection="1">
      <alignment vertical="center" wrapText="1"/>
    </xf>
    <xf numFmtId="0" fontId="3" fillId="0" borderId="32" xfId="0" applyNumberFormat="1" applyFont="1" applyFill="1" applyBorder="1" applyAlignment="1" applyProtection="1">
      <alignment vertical="center" wrapText="1"/>
    </xf>
    <xf numFmtId="0" fontId="3" fillId="30" borderId="13" xfId="0" applyNumberFormat="1" applyFont="1" applyFill="1" applyBorder="1" applyAlignment="1" applyProtection="1">
      <alignment vertical="center" wrapText="1"/>
    </xf>
    <xf numFmtId="0" fontId="3" fillId="30" borderId="26" xfId="0" applyNumberFormat="1" applyFont="1" applyFill="1" applyBorder="1" applyAlignment="1" applyProtection="1">
      <alignment horizontal="left" vertical="center" wrapText="1"/>
    </xf>
    <xf numFmtId="0" fontId="3" fillId="27" borderId="14" xfId="0" applyNumberFormat="1" applyFont="1" applyFill="1" applyBorder="1" applyAlignment="1" applyProtection="1">
      <alignment horizontal="right" vertical="center" wrapText="1"/>
    </xf>
    <xf numFmtId="0" fontId="3" fillId="27" borderId="26" xfId="0" applyNumberFormat="1" applyFont="1" applyFill="1" applyBorder="1" applyAlignment="1" applyProtection="1">
      <alignment horizontal="left" vertical="center" wrapText="1"/>
    </xf>
    <xf numFmtId="0" fontId="3" fillId="30" borderId="27" xfId="0" applyNumberFormat="1" applyFont="1" applyFill="1" applyBorder="1" applyAlignment="1" applyProtection="1">
      <alignment horizontal="left" vertical="center" wrapText="1"/>
    </xf>
    <xf numFmtId="0" fontId="3" fillId="24" borderId="15" xfId="0" applyNumberFormat="1" applyFont="1" applyFill="1" applyBorder="1" applyAlignment="1" applyProtection="1">
      <alignment vertical="center" wrapText="1"/>
    </xf>
    <xf numFmtId="0" fontId="3" fillId="24" borderId="13" xfId="0" applyNumberFormat="1" applyFont="1" applyFill="1" applyBorder="1" applyAlignment="1" applyProtection="1">
      <alignment vertical="center" wrapText="1"/>
    </xf>
    <xf numFmtId="0" fontId="3" fillId="24" borderId="17" xfId="0" applyNumberFormat="1" applyFont="1" applyFill="1" applyBorder="1" applyAlignment="1" applyProtection="1">
      <alignment vertical="center" wrapText="1"/>
    </xf>
    <xf numFmtId="0" fontId="3" fillId="24" borderId="27" xfId="0" applyNumberFormat="1" applyFont="1" applyFill="1" applyBorder="1" applyAlignment="1" applyProtection="1">
      <alignment vertical="center" wrapText="1"/>
    </xf>
    <xf numFmtId="0" fontId="3" fillId="24" borderId="15" xfId="0" applyNumberFormat="1" applyFont="1" applyFill="1" applyBorder="1" applyAlignment="1" applyProtection="1">
      <alignment vertical="center" shrinkToFit="1"/>
    </xf>
    <xf numFmtId="0" fontId="3" fillId="24" borderId="17" xfId="0" applyNumberFormat="1" applyFont="1" applyFill="1" applyBorder="1" applyAlignment="1" applyProtection="1">
      <alignment vertical="center" shrinkToFit="1"/>
    </xf>
    <xf numFmtId="0" fontId="3" fillId="24" borderId="18" xfId="0" applyNumberFormat="1" applyFont="1" applyFill="1" applyBorder="1" applyAlignment="1" applyProtection="1">
      <alignment vertical="center" shrinkToFit="1"/>
    </xf>
    <xf numFmtId="49" fontId="3" fillId="24" borderId="25" xfId="0" applyNumberFormat="1" applyFont="1" applyFill="1" applyBorder="1" applyAlignment="1" applyProtection="1">
      <alignment vertical="center"/>
    </xf>
    <xf numFmtId="0" fontId="3" fillId="30" borderId="18" xfId="0" applyNumberFormat="1" applyFont="1" applyFill="1" applyBorder="1" applyAlignment="1" applyProtection="1">
      <alignment vertical="center" wrapText="1"/>
    </xf>
    <xf numFmtId="49" fontId="3" fillId="30" borderId="18" xfId="0" applyNumberFormat="1" applyFont="1" applyFill="1" applyBorder="1" applyAlignment="1" applyProtection="1">
      <alignment vertical="center" wrapText="1"/>
    </xf>
    <xf numFmtId="0" fontId="3" fillId="24" borderId="18" xfId="0" applyNumberFormat="1" applyFont="1" applyFill="1" applyBorder="1" applyAlignment="1" applyProtection="1">
      <alignment vertical="center" wrapText="1"/>
    </xf>
    <xf numFmtId="0" fontId="3" fillId="30" borderId="20" xfId="0" applyNumberFormat="1" applyFont="1" applyFill="1" applyBorder="1" applyAlignment="1" applyProtection="1">
      <alignment vertical="center" wrapText="1"/>
    </xf>
    <xf numFmtId="0" fontId="3" fillId="30" borderId="0" xfId="0" applyNumberFormat="1" applyFont="1" applyFill="1" applyBorder="1" applyAlignment="1" applyProtection="1">
      <alignment horizontal="left" vertical="center"/>
    </xf>
    <xf numFmtId="0" fontId="3" fillId="30" borderId="15" xfId="0" applyNumberFormat="1" applyFont="1" applyFill="1" applyBorder="1" applyAlignment="1" applyProtection="1">
      <alignment vertical="center"/>
    </xf>
    <xf numFmtId="0" fontId="13" fillId="0" borderId="0" xfId="0" applyNumberFormat="1" applyFont="1" applyFill="1" applyBorder="1" applyAlignment="1" applyProtection="1">
      <alignment vertical="center"/>
    </xf>
    <xf numFmtId="49" fontId="3" fillId="33" borderId="10" xfId="0" applyNumberFormat="1" applyFont="1" applyFill="1" applyBorder="1" applyAlignment="1" applyProtection="1">
      <alignment horizontal="left" vertical="center"/>
    </xf>
    <xf numFmtId="0" fontId="3" fillId="33" borderId="14" xfId="0" applyNumberFormat="1" applyFont="1" applyFill="1" applyBorder="1" applyAlignment="1" applyProtection="1">
      <alignment vertical="center"/>
    </xf>
    <xf numFmtId="49" fontId="3" fillId="33" borderId="12" xfId="0" applyNumberFormat="1" applyFont="1" applyFill="1" applyBorder="1" applyAlignment="1" applyProtection="1">
      <alignment horizontal="left" vertical="center"/>
    </xf>
    <xf numFmtId="49" fontId="3" fillId="33" borderId="13" xfId="0" applyNumberFormat="1" applyFont="1" applyFill="1" applyBorder="1" applyAlignment="1" applyProtection="1">
      <alignment horizontal="left" vertical="center"/>
    </xf>
    <xf numFmtId="0" fontId="3" fillId="33" borderId="26" xfId="0" applyNumberFormat="1" applyFont="1" applyFill="1" applyBorder="1" applyAlignment="1" applyProtection="1">
      <alignment vertical="center"/>
    </xf>
    <xf numFmtId="0" fontId="3" fillId="33" borderId="27" xfId="0" applyNumberFormat="1" applyFont="1" applyFill="1" applyBorder="1" applyAlignment="1" applyProtection="1">
      <alignment vertical="center"/>
    </xf>
    <xf numFmtId="0" fontId="3" fillId="34" borderId="23" xfId="0" applyNumberFormat="1" applyFont="1" applyFill="1" applyBorder="1" applyAlignment="1" applyProtection="1">
      <alignment vertical="center"/>
    </xf>
    <xf numFmtId="0" fontId="3" fillId="34" borderId="24" xfId="0" applyNumberFormat="1" applyFont="1" applyFill="1" applyBorder="1" applyAlignment="1" applyProtection="1">
      <alignment vertical="center"/>
    </xf>
    <xf numFmtId="49" fontId="3" fillId="33" borderId="16" xfId="0" applyNumberFormat="1" applyFont="1" applyFill="1" applyBorder="1" applyAlignment="1" applyProtection="1">
      <alignment vertical="center" wrapText="1"/>
    </xf>
    <xf numFmtId="49" fontId="3" fillId="33" borderId="17" xfId="0" applyNumberFormat="1" applyFont="1" applyFill="1" applyBorder="1" applyAlignment="1" applyProtection="1">
      <alignment vertical="center" wrapText="1"/>
    </xf>
    <xf numFmtId="49" fontId="3" fillId="33" borderId="25" xfId="0" applyNumberFormat="1" applyFont="1" applyFill="1" applyBorder="1" applyAlignment="1" applyProtection="1">
      <alignment vertical="center" wrapText="1"/>
    </xf>
    <xf numFmtId="49" fontId="3" fillId="33" borderId="41" xfId="0" applyNumberFormat="1" applyFont="1" applyFill="1" applyBorder="1" applyAlignment="1" applyProtection="1">
      <alignment vertical="center" wrapText="1"/>
    </xf>
    <xf numFmtId="0" fontId="3" fillId="33" borderId="16" xfId="0" applyNumberFormat="1" applyFont="1" applyFill="1" applyBorder="1" applyAlignment="1" applyProtection="1">
      <alignment vertical="center" wrapText="1"/>
    </xf>
    <xf numFmtId="0" fontId="3" fillId="33" borderId="17" xfId="0" applyNumberFormat="1" applyFont="1" applyFill="1" applyBorder="1" applyAlignment="1" applyProtection="1">
      <alignment vertical="center" wrapText="1"/>
    </xf>
    <xf numFmtId="0" fontId="3" fillId="33" borderId="25" xfId="0" applyNumberFormat="1" applyFont="1" applyFill="1" applyBorder="1" applyAlignment="1" applyProtection="1">
      <alignment vertical="center" wrapText="1"/>
    </xf>
    <xf numFmtId="0" fontId="3" fillId="33" borderId="41" xfId="0" applyNumberFormat="1" applyFont="1" applyFill="1" applyBorder="1" applyAlignment="1" applyProtection="1">
      <alignment vertical="center" wrapText="1"/>
    </xf>
    <xf numFmtId="49" fontId="3" fillId="33" borderId="12" xfId="0" applyNumberFormat="1" applyFont="1" applyFill="1" applyBorder="1" applyAlignment="1" applyProtection="1">
      <alignment vertical="center"/>
    </xf>
    <xf numFmtId="49" fontId="3" fillId="33" borderId="15" xfId="0" applyNumberFormat="1" applyFont="1" applyFill="1" applyBorder="1" applyAlignment="1" applyProtection="1">
      <alignment vertical="center" wrapText="1"/>
    </xf>
    <xf numFmtId="0" fontId="3" fillId="33" borderId="12" xfId="0" applyNumberFormat="1" applyFont="1" applyFill="1" applyBorder="1" applyAlignment="1" applyProtection="1">
      <alignment vertical="center" wrapText="1"/>
    </xf>
    <xf numFmtId="0" fontId="3" fillId="33" borderId="26" xfId="0" applyNumberFormat="1" applyFont="1" applyFill="1" applyBorder="1" applyAlignment="1" applyProtection="1">
      <alignment horizontal="left" vertical="center" wrapText="1"/>
    </xf>
    <xf numFmtId="0" fontId="3" fillId="33" borderId="13" xfId="0" applyNumberFormat="1" applyFont="1" applyFill="1" applyBorder="1" applyAlignment="1" applyProtection="1">
      <alignment vertical="center" wrapText="1"/>
    </xf>
    <xf numFmtId="0" fontId="3" fillId="33" borderId="27" xfId="0" applyNumberFormat="1" applyFont="1" applyFill="1" applyBorder="1" applyAlignment="1" applyProtection="1">
      <alignment horizontal="right" vertical="center" wrapText="1"/>
    </xf>
    <xf numFmtId="0" fontId="3" fillId="30" borderId="13" xfId="0" applyNumberFormat="1" applyFont="1" applyFill="1" applyBorder="1" applyAlignment="1" applyProtection="1">
      <alignment vertical="center"/>
    </xf>
    <xf numFmtId="0" fontId="3" fillId="30" borderId="22" xfId="0" applyNumberFormat="1" applyFont="1" applyFill="1" applyBorder="1" applyAlignment="1" applyProtection="1">
      <alignment vertical="center"/>
    </xf>
    <xf numFmtId="0" fontId="3" fillId="30" borderId="21" xfId="0" applyNumberFormat="1" applyFont="1" applyFill="1" applyBorder="1" applyAlignment="1" applyProtection="1">
      <alignment vertical="center"/>
    </xf>
    <xf numFmtId="0" fontId="3" fillId="30" borderId="16" xfId="0" applyNumberFormat="1" applyFont="1" applyFill="1" applyBorder="1" applyAlignment="1" applyProtection="1">
      <alignment vertical="center"/>
    </xf>
    <xf numFmtId="0" fontId="3" fillId="30" borderId="17" xfId="0" applyNumberFormat="1" applyFont="1" applyFill="1" applyBorder="1" applyAlignment="1" applyProtection="1">
      <alignment vertical="center"/>
    </xf>
    <xf numFmtId="0" fontId="3" fillId="30" borderId="25" xfId="0" applyNumberFormat="1" applyFont="1" applyFill="1" applyBorder="1" applyAlignment="1" applyProtection="1">
      <alignment vertical="center"/>
    </xf>
    <xf numFmtId="49" fontId="3" fillId="30" borderId="10" xfId="0" applyNumberFormat="1" applyFont="1" applyFill="1" applyBorder="1" applyAlignment="1" applyProtection="1">
      <alignment horizontal="left" vertical="center"/>
    </xf>
    <xf numFmtId="0" fontId="3" fillId="30" borderId="13" xfId="0" applyNumberFormat="1" applyFont="1" applyFill="1" applyBorder="1" applyAlignment="1" applyProtection="1">
      <alignment horizontal="left" vertical="center"/>
    </xf>
    <xf numFmtId="0" fontId="3" fillId="30" borderId="14" xfId="0" applyNumberFormat="1" applyFont="1" applyFill="1" applyBorder="1" applyAlignment="1" applyProtection="1">
      <alignment horizontal="left" vertical="center"/>
    </xf>
    <xf numFmtId="0" fontId="3" fillId="30" borderId="27" xfId="0" applyNumberFormat="1" applyFont="1" applyFill="1" applyBorder="1" applyAlignment="1" applyProtection="1">
      <alignment vertical="center"/>
    </xf>
    <xf numFmtId="49" fontId="3" fillId="30" borderId="23" xfId="0" applyNumberFormat="1" applyFont="1" applyFill="1" applyBorder="1" applyAlignment="1" applyProtection="1">
      <alignment vertical="center"/>
    </xf>
    <xf numFmtId="0" fontId="3" fillId="33" borderId="18" xfId="0" applyNumberFormat="1" applyFont="1" applyFill="1" applyBorder="1" applyAlignment="1" applyProtection="1">
      <alignment vertical="center"/>
    </xf>
    <xf numFmtId="0" fontId="3" fillId="0" borderId="42" xfId="0" applyNumberFormat="1" applyFont="1" applyFill="1" applyBorder="1" applyAlignment="1" applyProtection="1">
      <alignment vertical="center"/>
    </xf>
    <xf numFmtId="0" fontId="3" fillId="0" borderId="43" xfId="0" applyNumberFormat="1" applyFont="1" applyFill="1" applyBorder="1" applyAlignment="1" applyProtection="1">
      <alignment vertical="center"/>
    </xf>
    <xf numFmtId="0" fontId="3" fillId="0" borderId="44" xfId="0" applyNumberFormat="1" applyFont="1" applyFill="1" applyBorder="1" applyAlignment="1" applyProtection="1">
      <alignment vertical="center"/>
    </xf>
    <xf numFmtId="0" fontId="3" fillId="0" borderId="36" xfId="0" applyNumberFormat="1" applyFont="1" applyFill="1" applyBorder="1" applyAlignment="1" applyProtection="1">
      <alignment horizontal="center" vertical="center"/>
    </xf>
    <xf numFmtId="0" fontId="3" fillId="0" borderId="22" xfId="0" applyNumberFormat="1" applyFont="1" applyFill="1" applyBorder="1" applyAlignment="1" applyProtection="1">
      <alignment vertical="center"/>
    </xf>
    <xf numFmtId="0" fontId="3" fillId="0" borderId="13" xfId="0" applyNumberFormat="1" applyFont="1" applyFill="1" applyBorder="1" applyAlignment="1" applyProtection="1">
      <alignment vertical="center"/>
    </xf>
    <xf numFmtId="0" fontId="3" fillId="30" borderId="27" xfId="0" applyNumberFormat="1" applyFont="1" applyFill="1" applyBorder="1" applyAlignment="1" applyProtection="1">
      <alignment vertical="center"/>
    </xf>
    <xf numFmtId="182" fontId="3" fillId="0" borderId="0" xfId="0" applyNumberFormat="1" applyFont="1" applyFill="1" applyBorder="1" applyAlignment="1" applyProtection="1">
      <alignment vertical="center"/>
    </xf>
    <xf numFmtId="0" fontId="3" fillId="30" borderId="45" xfId="0" applyNumberFormat="1" applyFont="1" applyFill="1" applyBorder="1" applyAlignment="1" applyProtection="1">
      <alignment vertical="center"/>
    </xf>
    <xf numFmtId="49" fontId="3" fillId="30" borderId="16" xfId="0" applyNumberFormat="1" applyFont="1" applyFill="1" applyBorder="1" applyAlignment="1" applyProtection="1">
      <alignment vertical="center"/>
    </xf>
    <xf numFmtId="49" fontId="3" fillId="30" borderId="12" xfId="0" applyNumberFormat="1" applyFont="1" applyFill="1" applyBorder="1" applyAlignment="1" applyProtection="1">
      <alignment vertical="center"/>
    </xf>
    <xf numFmtId="49" fontId="3" fillId="30" borderId="25" xfId="0" applyNumberFormat="1" applyFont="1" applyFill="1" applyBorder="1" applyAlignment="1" applyProtection="1">
      <alignment vertical="center"/>
    </xf>
    <xf numFmtId="49" fontId="3" fillId="30" borderId="13" xfId="0" applyNumberFormat="1" applyFont="1" applyFill="1" applyBorder="1" applyAlignment="1" applyProtection="1">
      <alignment vertical="center"/>
    </xf>
    <xf numFmtId="0" fontId="5" fillId="30" borderId="0" xfId="0" applyNumberFormat="1" applyFont="1" applyFill="1" applyBorder="1" applyAlignment="1" applyProtection="1">
      <alignment vertical="center"/>
    </xf>
    <xf numFmtId="0" fontId="5" fillId="32" borderId="0" xfId="0" applyNumberFormat="1" applyFont="1" applyFill="1" applyBorder="1" applyAlignment="1" applyProtection="1">
      <alignment vertical="center"/>
    </xf>
    <xf numFmtId="49" fontId="3" fillId="24" borderId="13" xfId="0" applyNumberFormat="1" applyFont="1" applyFill="1" applyBorder="1" applyAlignment="1" applyProtection="1">
      <alignment vertical="center" shrinkToFit="1"/>
    </xf>
    <xf numFmtId="183" fontId="3" fillId="0" borderId="0" xfId="0" applyNumberFormat="1" applyFont="1" applyFill="1" applyBorder="1" applyAlignment="1" applyProtection="1">
      <alignment horizontal="center" vertical="center"/>
    </xf>
    <xf numFmtId="0" fontId="3" fillId="31" borderId="18" xfId="0" applyNumberFormat="1" applyFont="1" applyFill="1" applyBorder="1" applyAlignment="1" applyProtection="1">
      <alignment vertical="center" wrapText="1"/>
    </xf>
    <xf numFmtId="178" fontId="3" fillId="0" borderId="0" xfId="0" applyNumberFormat="1" applyFont="1" applyFill="1" applyBorder="1" applyAlignment="1" applyProtection="1">
      <alignment horizontal="left" vertical="center"/>
    </xf>
    <xf numFmtId="49" fontId="3" fillId="31" borderId="12" xfId="0" applyNumberFormat="1" applyFont="1" applyFill="1" applyBorder="1" applyAlignment="1" applyProtection="1">
      <alignment vertical="center" wrapText="1"/>
    </xf>
    <xf numFmtId="0" fontId="3" fillId="0" borderId="0" xfId="1" applyNumberFormat="1" applyFont="1" applyFill="1" applyBorder="1" applyAlignment="1" applyProtection="1">
      <alignment vertical="center"/>
      <protection locked="0"/>
    </xf>
    <xf numFmtId="49" fontId="3" fillId="0" borderId="0" xfId="1" applyNumberFormat="1" applyFont="1" applyFill="1" applyBorder="1" applyAlignment="1" applyProtection="1">
      <alignment vertical="center"/>
      <protection locked="0"/>
    </xf>
    <xf numFmtId="0" fontId="3" fillId="24" borderId="22" xfId="0" applyNumberFormat="1" applyFont="1" applyFill="1" applyBorder="1" applyAlignment="1" applyProtection="1">
      <alignment vertical="center" shrinkToFit="1"/>
    </xf>
    <xf numFmtId="49" fontId="3" fillId="30" borderId="17" xfId="0" applyNumberFormat="1" applyFont="1" applyFill="1" applyBorder="1" applyAlignment="1" applyProtection="1">
      <alignment horizontal="left" vertical="center"/>
    </xf>
    <xf numFmtId="0" fontId="30" fillId="30" borderId="13" xfId="0" applyNumberFormat="1" applyFont="1" applyFill="1" applyBorder="1" applyAlignment="1" applyProtection="1">
      <alignment vertical="center"/>
    </xf>
    <xf numFmtId="0" fontId="3" fillId="34" borderId="12" xfId="0" applyNumberFormat="1" applyFont="1" applyFill="1" applyBorder="1" applyAlignment="1" applyProtection="1">
      <alignment vertical="center" wrapText="1"/>
    </xf>
    <xf numFmtId="0" fontId="3" fillId="34" borderId="15" xfId="0" applyNumberFormat="1" applyFont="1" applyFill="1" applyBorder="1" applyAlignment="1" applyProtection="1">
      <alignment vertical="center" wrapText="1"/>
    </xf>
    <xf numFmtId="0" fontId="3" fillId="0" borderId="12" xfId="0" applyNumberFormat="1" applyFont="1" applyFill="1" applyBorder="1" applyAlignment="1" applyProtection="1">
      <alignment vertical="center" wrapText="1"/>
    </xf>
    <xf numFmtId="0" fontId="3" fillId="0" borderId="15" xfId="0" applyNumberFormat="1" applyFont="1" applyFill="1" applyBorder="1" applyAlignment="1" applyProtection="1">
      <alignment vertical="center" wrapText="1"/>
    </xf>
    <xf numFmtId="0" fontId="0" fillId="0" borderId="0" xfId="0" applyNumberFormat="1" applyFont="1" applyFill="1" applyBorder="1" applyAlignment="1" applyProtection="1">
      <alignment horizontal="left" vertical="center"/>
    </xf>
    <xf numFmtId="0" fontId="3" fillId="30" borderId="12" xfId="0" applyNumberFormat="1" applyFont="1" applyFill="1" applyBorder="1" applyAlignment="1" applyProtection="1">
      <alignment vertical="center" wrapText="1"/>
    </xf>
    <xf numFmtId="0" fontId="3" fillId="30" borderId="15" xfId="0" applyNumberFormat="1" applyFont="1" applyFill="1" applyBorder="1" applyAlignment="1" applyProtection="1">
      <alignment horizontal="left" vertical="center" wrapText="1"/>
    </xf>
    <xf numFmtId="176" fontId="0" fillId="0" borderId="0" xfId="0" applyNumberFormat="1" applyFont="1" applyFill="1" applyBorder="1" applyAlignment="1" applyProtection="1">
      <alignment horizontal="left" vertical="center"/>
    </xf>
    <xf numFmtId="0" fontId="3" fillId="24" borderId="12" xfId="0" applyNumberFormat="1" applyFont="1" applyFill="1" applyBorder="1" applyAlignment="1" applyProtection="1">
      <alignment vertical="center" wrapText="1"/>
    </xf>
    <xf numFmtId="0" fontId="3" fillId="33" borderId="46" xfId="0" applyNumberFormat="1" applyFont="1" applyFill="1" applyBorder="1" applyAlignment="1" applyProtection="1">
      <alignment vertical="center" wrapText="1"/>
    </xf>
    <xf numFmtId="0" fontId="3" fillId="33" borderId="11" xfId="0" applyNumberFormat="1" applyFont="1" applyFill="1" applyBorder="1" applyAlignment="1" applyProtection="1">
      <alignment vertical="center" wrapText="1"/>
    </xf>
    <xf numFmtId="0" fontId="3" fillId="30" borderId="12" xfId="0" applyNumberFormat="1" applyFont="1" applyFill="1" applyBorder="1" applyAlignment="1" applyProtection="1">
      <alignment vertical="center"/>
    </xf>
    <xf numFmtId="0" fontId="3" fillId="30" borderId="11" xfId="0" applyNumberFormat="1" applyFont="1" applyFill="1" applyBorder="1" applyAlignment="1" applyProtection="1">
      <alignment vertical="center"/>
    </xf>
    <xf numFmtId="0" fontId="3" fillId="30" borderId="46" xfId="0" applyNumberFormat="1" applyFont="1" applyFill="1" applyBorder="1" applyAlignment="1" applyProtection="1">
      <alignment vertical="center" wrapText="1"/>
    </xf>
    <xf numFmtId="49" fontId="3" fillId="33" borderId="12" xfId="0" applyNumberFormat="1" applyFont="1" applyFill="1" applyBorder="1" applyAlignment="1" applyProtection="1">
      <alignment vertical="center"/>
    </xf>
    <xf numFmtId="0" fontId="3" fillId="33" borderId="11" xfId="0" applyNumberFormat="1" applyFont="1" applyFill="1" applyBorder="1" applyAlignment="1" applyProtection="1">
      <alignment vertical="center"/>
    </xf>
    <xf numFmtId="0" fontId="3" fillId="33" borderId="32" xfId="0" applyNumberFormat="1" applyFont="1" applyFill="1" applyBorder="1" applyAlignment="1" applyProtection="1">
      <alignment vertical="center" wrapText="1"/>
    </xf>
    <xf numFmtId="0" fontId="3" fillId="30" borderId="47" xfId="0" applyNumberFormat="1" applyFont="1" applyFill="1" applyBorder="1" applyAlignment="1" applyProtection="1">
      <alignment horizontal="left" vertical="center" wrapText="1"/>
    </xf>
    <xf numFmtId="0" fontId="3" fillId="33" borderId="12" xfId="0" applyNumberFormat="1" applyFont="1" applyFill="1" applyBorder="1" applyAlignment="1" applyProtection="1">
      <alignment vertical="center"/>
    </xf>
    <xf numFmtId="0" fontId="3" fillId="33" borderId="15" xfId="0" applyNumberFormat="1" applyFont="1" applyFill="1" applyBorder="1" applyAlignment="1" applyProtection="1">
      <alignment vertical="center" wrapText="1"/>
    </xf>
    <xf numFmtId="49" fontId="3" fillId="30" borderId="12" xfId="0" applyNumberFormat="1" applyFont="1" applyFill="1" applyBorder="1" applyAlignment="1" applyProtection="1">
      <alignment horizontal="left" vertical="center"/>
    </xf>
    <xf numFmtId="0" fontId="3" fillId="33" borderId="12" xfId="0" applyNumberFormat="1" applyFont="1" applyFill="1" applyBorder="1" applyAlignment="1" applyProtection="1">
      <alignment vertical="center" wrapText="1"/>
    </xf>
    <xf numFmtId="0" fontId="3" fillId="33" borderId="18" xfId="0" applyNumberFormat="1" applyFont="1" applyFill="1" applyBorder="1" applyAlignment="1" applyProtection="1">
      <alignment horizontal="left" vertical="center" wrapText="1"/>
    </xf>
    <xf numFmtId="180" fontId="3" fillId="30" borderId="0" xfId="0" applyNumberFormat="1" applyFont="1" applyFill="1" applyBorder="1" applyAlignment="1" applyProtection="1">
      <alignment horizontal="left" vertical="center"/>
    </xf>
    <xf numFmtId="49" fontId="3" fillId="30" borderId="0" xfId="0" applyNumberFormat="1" applyFont="1" applyFill="1" applyBorder="1" applyAlignment="1" applyProtection="1">
      <alignment horizontal="left" vertical="center"/>
    </xf>
    <xf numFmtId="49" fontId="3" fillId="30" borderId="0" xfId="0" applyNumberFormat="1" applyFont="1" applyFill="1" applyBorder="1" applyAlignment="1" applyProtection="1">
      <alignment vertical="center"/>
    </xf>
    <xf numFmtId="176" fontId="3" fillId="30" borderId="0" xfId="0" applyNumberFormat="1" applyFont="1" applyFill="1" applyBorder="1" applyAlignment="1" applyProtection="1">
      <alignment horizontal="left" vertical="center"/>
    </xf>
    <xf numFmtId="0" fontId="3" fillId="33" borderId="0" xfId="0" applyNumberFormat="1" applyFont="1" applyFill="1" applyBorder="1" applyAlignment="1" applyProtection="1">
      <alignment horizontal="left" vertical="center"/>
    </xf>
    <xf numFmtId="0" fontId="0" fillId="33" borderId="0" xfId="0" applyNumberFormat="1" applyFont="1" applyFill="1" applyBorder="1" applyAlignment="1" applyProtection="1">
      <alignment horizontal="left" vertical="center"/>
    </xf>
    <xf numFmtId="180" fontId="3" fillId="33" borderId="0" xfId="0" applyNumberFormat="1" applyFont="1" applyFill="1" applyBorder="1" applyAlignment="1" applyProtection="1">
      <alignment horizontal="left" vertical="center"/>
    </xf>
    <xf numFmtId="0" fontId="3" fillId="31" borderId="0" xfId="0" applyNumberFormat="1" applyFont="1" applyFill="1" applyBorder="1" applyAlignment="1" applyProtection="1">
      <alignment horizontal="left" vertical="center"/>
    </xf>
    <xf numFmtId="0" fontId="3" fillId="30" borderId="0" xfId="0" applyNumberFormat="1" applyFont="1" applyFill="1" applyBorder="1" applyAlignment="1" applyProtection="1">
      <alignment horizontal="left" vertical="center" wrapText="1"/>
    </xf>
    <xf numFmtId="49" fontId="3" fillId="31" borderId="0" xfId="0" applyNumberFormat="1" applyFont="1" applyFill="1" applyBorder="1" applyAlignment="1" applyProtection="1">
      <alignment horizontal="left" vertical="center"/>
    </xf>
    <xf numFmtId="49" fontId="3" fillId="30" borderId="0" xfId="1" applyNumberFormat="1" applyFont="1" applyFill="1" applyBorder="1" applyAlignment="1" applyProtection="1">
      <alignment vertical="center"/>
      <protection locked="0"/>
    </xf>
    <xf numFmtId="49" fontId="9" fillId="30" borderId="0" xfId="1" applyNumberFormat="1" applyFont="1" applyFill="1" applyBorder="1" applyAlignment="1" applyProtection="1">
      <alignment vertical="center"/>
      <protection locked="0"/>
    </xf>
    <xf numFmtId="0" fontId="30" fillId="30" borderId="0" xfId="0" applyNumberFormat="1" applyFont="1" applyFill="1" applyBorder="1" applyAlignment="1" applyProtection="1">
      <alignment vertical="center"/>
    </xf>
    <xf numFmtId="0" fontId="3" fillId="30" borderId="0" xfId="1" applyNumberFormat="1" applyFont="1" applyFill="1" applyBorder="1" applyAlignment="1" applyProtection="1">
      <alignment vertical="center"/>
      <protection locked="0"/>
    </xf>
    <xf numFmtId="49" fontId="3" fillId="30" borderId="0" xfId="0" applyNumberFormat="1" applyFont="1" applyFill="1" applyBorder="1" applyAlignment="1" applyProtection="1">
      <alignment horizontal="left" vertical="top"/>
    </xf>
    <xf numFmtId="0" fontId="3" fillId="30" borderId="0" xfId="0" applyNumberFormat="1" applyFont="1" applyFill="1" applyBorder="1" applyAlignment="1" applyProtection="1">
      <alignment horizontal="left" vertical="top"/>
    </xf>
    <xf numFmtId="178" fontId="3" fillId="31" borderId="0" xfId="0" applyNumberFormat="1" applyFont="1" applyFill="1" applyBorder="1" applyAlignment="1" applyProtection="1">
      <alignment horizontal="left" vertical="center"/>
    </xf>
    <xf numFmtId="179" fontId="3" fillId="31" borderId="0" xfId="0" applyNumberFormat="1" applyFont="1" applyFill="1" applyBorder="1" applyAlignment="1" applyProtection="1">
      <alignment horizontal="left" vertical="center"/>
    </xf>
    <xf numFmtId="178" fontId="3" fillId="30" borderId="0" xfId="0" applyNumberFormat="1" applyFont="1" applyFill="1" applyBorder="1" applyAlignment="1" applyProtection="1">
      <alignment horizontal="left" vertical="center"/>
    </xf>
    <xf numFmtId="177" fontId="3" fillId="30" borderId="0" xfId="0" applyNumberFormat="1" applyFont="1" applyFill="1" applyBorder="1" applyAlignment="1" applyProtection="1">
      <alignment horizontal="left" vertical="center"/>
    </xf>
    <xf numFmtId="181" fontId="3" fillId="30" borderId="0" xfId="0" applyNumberFormat="1" applyFont="1" applyFill="1" applyBorder="1" applyAlignment="1" applyProtection="1">
      <alignment horizontal="left" vertical="center"/>
    </xf>
    <xf numFmtId="184" fontId="3" fillId="30" borderId="0" xfId="0" applyNumberFormat="1" applyFont="1" applyFill="1" applyBorder="1" applyAlignment="1" applyProtection="1">
      <alignment horizontal="left" vertical="center"/>
    </xf>
    <xf numFmtId="182" fontId="3" fillId="30" borderId="0" xfId="0" applyNumberFormat="1" applyFont="1" applyFill="1" applyBorder="1" applyAlignment="1" applyProtection="1">
      <alignment vertical="center"/>
    </xf>
    <xf numFmtId="177" fontId="3" fillId="30" borderId="0" xfId="0" applyNumberFormat="1" applyFont="1" applyFill="1" applyBorder="1" applyAlignment="1" applyProtection="1">
      <alignment vertical="center"/>
    </xf>
    <xf numFmtId="184" fontId="3" fillId="30" borderId="0" xfId="0" applyNumberFormat="1" applyFont="1" applyFill="1" applyBorder="1" applyAlignment="1" applyProtection="1">
      <alignment vertical="center"/>
    </xf>
    <xf numFmtId="184" fontId="3" fillId="35" borderId="0" xfId="0" applyNumberFormat="1" applyFont="1" applyFill="1" applyBorder="1" applyAlignment="1" applyProtection="1">
      <alignment horizontal="left" vertical="center"/>
    </xf>
    <xf numFmtId="49" fontId="3" fillId="24" borderId="12" xfId="0" applyNumberFormat="1" applyFont="1" applyFill="1" applyBorder="1" applyAlignment="1" applyProtection="1">
      <alignment vertical="center" shrinkToFit="1"/>
    </xf>
    <xf numFmtId="0" fontId="3" fillId="24" borderId="27" xfId="0" applyNumberFormat="1" applyFont="1" applyFill="1" applyBorder="1" applyAlignment="1" applyProtection="1">
      <alignment vertical="center" shrinkToFit="1"/>
    </xf>
    <xf numFmtId="0" fontId="3" fillId="24" borderId="48" xfId="0" applyNumberFormat="1" applyFont="1" applyFill="1" applyBorder="1" applyAlignment="1" applyProtection="1">
      <alignment vertical="center" shrinkToFit="1"/>
    </xf>
    <xf numFmtId="0" fontId="0" fillId="0" borderId="0" xfId="127" applyNumberFormat="1" applyFont="1" applyFill="1" applyBorder="1" applyAlignment="1" applyProtection="1">
      <alignment vertical="center"/>
    </xf>
    <xf numFmtId="0" fontId="33" fillId="0" borderId="0" xfId="127" applyNumberFormat="1" applyFont="1" applyFill="1" applyBorder="1" applyAlignment="1" applyProtection="1">
      <alignment vertical="center"/>
    </xf>
    <xf numFmtId="0" fontId="1" fillId="0" borderId="0" xfId="127" applyNumberFormat="1" applyFont="1" applyFill="1" applyBorder="1" applyAlignment="1" applyProtection="1">
      <alignment vertical="center"/>
    </xf>
    <xf numFmtId="0" fontId="33" fillId="0" borderId="0" xfId="52" applyNumberFormat="1" applyFont="1" applyFill="1" applyBorder="1" applyAlignment="1" applyProtection="1">
      <alignment vertical="center"/>
      <protection hidden="1"/>
    </xf>
    <xf numFmtId="0" fontId="3" fillId="31" borderId="12" xfId="0" applyNumberFormat="1" applyFont="1" applyFill="1" applyBorder="1" applyAlignment="1" applyProtection="1">
      <alignment vertical="center"/>
    </xf>
    <xf numFmtId="0" fontId="3" fillId="31" borderId="18" xfId="0" applyNumberFormat="1" applyFont="1" applyFill="1" applyBorder="1" applyAlignment="1" applyProtection="1">
      <alignment vertical="center"/>
    </xf>
    <xf numFmtId="0" fontId="3" fillId="31" borderId="12" xfId="0" applyNumberFormat="1" applyFont="1" applyFill="1" applyBorder="1" applyAlignment="1" applyProtection="1">
      <alignment vertical="center" wrapText="1"/>
    </xf>
    <xf numFmtId="0" fontId="5" fillId="33" borderId="0" xfId="0" applyNumberFormat="1" applyFont="1" applyFill="1" applyBorder="1" applyAlignment="1" applyProtection="1">
      <alignment horizontal="left" vertical="center"/>
    </xf>
    <xf numFmtId="0" fontId="3" fillId="30" borderId="19" xfId="0" applyNumberFormat="1" applyFont="1" applyFill="1" applyBorder="1" applyAlignment="1" applyProtection="1">
      <alignment vertical="center"/>
    </xf>
    <xf numFmtId="49" fontId="3" fillId="24" borderId="26" xfId="0" applyNumberFormat="1" applyFont="1" applyFill="1" applyBorder="1" applyAlignment="1" applyProtection="1">
      <alignment vertical="center" wrapText="1"/>
    </xf>
    <xf numFmtId="0" fontId="3" fillId="31" borderId="49" xfId="0" applyNumberFormat="1" applyFont="1" applyFill="1" applyBorder="1" applyAlignment="1" applyProtection="1">
      <alignment vertical="center"/>
    </xf>
    <xf numFmtId="0" fontId="3" fillId="31" borderId="50" xfId="0" applyNumberFormat="1" applyFont="1" applyFill="1" applyBorder="1" applyAlignment="1" applyProtection="1">
      <alignment vertical="center"/>
    </xf>
    <xf numFmtId="0" fontId="3" fillId="31" borderId="30" xfId="0" applyNumberFormat="1" applyFont="1" applyFill="1" applyBorder="1" applyAlignment="1" applyProtection="1">
      <alignment vertical="center"/>
    </xf>
    <xf numFmtId="0" fontId="3" fillId="31" borderId="48" xfId="0" applyNumberFormat="1" applyFont="1" applyFill="1" applyBorder="1" applyAlignment="1" applyProtection="1">
      <alignment vertical="center" wrapText="1"/>
    </xf>
    <xf numFmtId="0" fontId="35" fillId="0" borderId="0" xfId="128" applyNumberFormat="1" applyFont="1" applyFill="1" applyBorder="1" applyAlignment="1" applyProtection="1">
      <alignment vertical="center"/>
    </xf>
    <xf numFmtId="0" fontId="35" fillId="0" borderId="0" xfId="128" applyNumberFormat="1" applyFont="1" applyFill="1" applyBorder="1" applyAlignment="1" applyProtection="1">
      <alignment horizontal="right" vertical="center"/>
    </xf>
    <xf numFmtId="0" fontId="35" fillId="0" borderId="0" xfId="128" applyNumberFormat="1" applyFont="1" applyFill="1" applyBorder="1" applyAlignment="1" applyProtection="1">
      <alignment vertical="top"/>
    </xf>
    <xf numFmtId="0" fontId="35" fillId="0" borderId="0" xfId="128" applyNumberFormat="1" applyFont="1" applyFill="1" applyBorder="1" applyAlignment="1" applyProtection="1">
      <alignment wrapText="1"/>
    </xf>
    <xf numFmtId="0" fontId="35" fillId="0" borderId="0" xfId="128" applyNumberFormat="1" applyFont="1" applyFill="1" applyBorder="1" applyAlignment="1" applyProtection="1">
      <alignment vertical="center" wrapText="1"/>
    </xf>
    <xf numFmtId="0" fontId="35" fillId="0" borderId="0" xfId="128" applyNumberFormat="1" applyFont="1" applyFill="1" applyBorder="1" applyAlignment="1" applyProtection="1">
      <alignment horizontal="center" vertical="center"/>
    </xf>
    <xf numFmtId="0" fontId="38" fillId="0" borderId="0" xfId="128" applyNumberFormat="1" applyFont="1" applyFill="1" applyBorder="1" applyAlignment="1" applyProtection="1">
      <alignment horizontal="center" vertical="center"/>
    </xf>
    <xf numFmtId="0" fontId="39" fillId="0" borderId="0" xfId="128" applyNumberFormat="1" applyFont="1" applyFill="1" applyBorder="1" applyAlignment="1" applyProtection="1">
      <alignment vertical="center"/>
    </xf>
    <xf numFmtId="0" fontId="36" fillId="0" borderId="0" xfId="128" applyNumberFormat="1" applyFont="1" applyFill="1" applyBorder="1" applyAlignment="1" applyProtection="1">
      <alignment horizontal="left" vertical="center" shrinkToFit="1"/>
      <protection locked="0" hidden="1"/>
    </xf>
    <xf numFmtId="0" fontId="35" fillId="0" borderId="0" xfId="128" applyNumberFormat="1" applyFont="1" applyFill="1" applyBorder="1" applyAlignment="1" applyProtection="1">
      <alignment horizontal="center" vertical="center"/>
    </xf>
    <xf numFmtId="0" fontId="36" fillId="0" borderId="0" xfId="128" applyNumberFormat="1" applyFont="1" applyFill="1" applyBorder="1" applyAlignment="1" applyProtection="1">
      <alignment horizontal="left" vertical="center" shrinkToFit="1"/>
    </xf>
    <xf numFmtId="0" fontId="35" fillId="0" borderId="0" xfId="128" applyNumberFormat="1" applyFont="1" applyFill="1" applyBorder="1" applyAlignment="1" applyProtection="1">
      <alignment horizontal="left" vertical="center"/>
    </xf>
    <xf numFmtId="0" fontId="5" fillId="0" borderId="0" xfId="0" applyNumberFormat="1" applyFont="1" applyFill="1" applyBorder="1" applyAlignment="1" applyProtection="1">
      <alignment vertical="center"/>
    </xf>
    <xf numFmtId="0" fontId="3" fillId="36" borderId="0" xfId="0" applyNumberFormat="1" applyFont="1" applyFill="1" applyBorder="1" applyAlignment="1" applyProtection="1">
      <alignment horizontal="center" vertical="center"/>
    </xf>
    <xf numFmtId="0" fontId="3" fillId="24" borderId="16" xfId="0" applyNumberFormat="1" applyFont="1" applyFill="1" applyBorder="1" applyAlignment="1" applyProtection="1">
      <alignment horizontal="left" vertical="center" wrapText="1"/>
    </xf>
    <xf numFmtId="0" fontId="3" fillId="24" borderId="17" xfId="0" applyNumberFormat="1" applyFont="1" applyFill="1" applyBorder="1" applyAlignment="1" applyProtection="1">
      <alignment horizontal="left" vertical="center" wrapText="1"/>
    </xf>
    <xf numFmtId="0" fontId="31" fillId="0" borderId="0" xfId="128" applyNumberFormat="1" applyFont="1" applyFill="1" applyBorder="1" applyAlignment="1" applyProtection="1">
      <alignment horizontal="left" vertical="center" shrinkToFit="1"/>
    </xf>
    <xf numFmtId="0" fontId="36" fillId="0" borderId="0" xfId="128" applyNumberFormat="1" applyFont="1" applyFill="1" applyBorder="1" applyAlignment="1" applyProtection="1">
      <alignment horizontal="left" vertical="center" shrinkToFit="1"/>
    </xf>
    <xf numFmtId="0" fontId="35" fillId="0" borderId="0" xfId="128" applyNumberFormat="1" applyFont="1" applyFill="1" applyBorder="1" applyAlignment="1" applyProtection="1">
      <alignment horizontal="center" vertical="center"/>
    </xf>
    <xf numFmtId="0" fontId="37" fillId="0" borderId="0" xfId="128" applyNumberFormat="1" applyFont="1" applyFill="1" applyBorder="1" applyAlignment="1" applyProtection="1">
      <alignment horizontal="center" vertical="center"/>
    </xf>
    <xf numFmtId="0" fontId="35" fillId="0" borderId="0" xfId="128" applyNumberFormat="1" applyFont="1" applyFill="1" applyBorder="1" applyAlignment="1" applyProtection="1">
      <alignment horizontal="left" vertical="center"/>
    </xf>
    <xf numFmtId="0" fontId="35" fillId="0" borderId="0" xfId="128" applyNumberFormat="1" applyFont="1" applyFill="1" applyBorder="1" applyAlignment="1" applyProtection="1">
      <alignment horizontal="center" vertical="center"/>
      <protection locked="0" hidden="1"/>
    </xf>
    <xf numFmtId="0" fontId="35" fillId="0" borderId="0" xfId="128" applyNumberFormat="1" applyFont="1" applyFill="1" applyBorder="1" applyAlignment="1" applyProtection="1">
      <alignment horizontal="left" vertical="top" wrapText="1"/>
      <protection locked="0" hidden="1"/>
    </xf>
    <xf numFmtId="0" fontId="31" fillId="0" borderId="0" xfId="128" applyNumberFormat="1" applyFont="1" applyFill="1" applyBorder="1" applyAlignment="1" applyProtection="1">
      <alignment horizontal="left" vertical="top" wrapText="1"/>
      <protection locked="0" hidden="1"/>
    </xf>
    <xf numFmtId="0" fontId="35" fillId="0" borderId="0" xfId="128" applyNumberFormat="1" applyFont="1" applyFill="1" applyBorder="1" applyAlignment="1" applyProtection="1">
      <alignment horizontal="left" vertical="center" shrinkToFit="1"/>
      <protection locked="0" hidden="1"/>
    </xf>
    <xf numFmtId="0" fontId="36" fillId="0" borderId="0" xfId="128" applyNumberFormat="1" applyFont="1" applyFill="1" applyBorder="1" applyAlignment="1" applyProtection="1">
      <alignment horizontal="left" vertical="center" shrinkToFit="1"/>
      <protection locked="0" hidden="1"/>
    </xf>
    <xf numFmtId="0" fontId="36" fillId="0" borderId="0" xfId="128" applyNumberFormat="1" applyFont="1" applyFill="1" applyBorder="1" applyAlignment="1" applyProtection="1">
      <alignment horizontal="left" vertical="top" shrinkToFit="1"/>
      <protection locked="0" hidden="1"/>
    </xf>
    <xf numFmtId="0" fontId="36" fillId="0" borderId="0" xfId="128" applyNumberFormat="1" applyFont="1" applyFill="1" applyBorder="1" applyAlignment="1" applyProtection="1">
      <alignment horizontal="left" vertical="top" wrapText="1" shrinkToFit="1"/>
      <protection locked="0" hidden="1"/>
    </xf>
    <xf numFmtId="0" fontId="35" fillId="0" borderId="0" xfId="128" applyNumberFormat="1" applyFont="1" applyFill="1" applyBorder="1" applyAlignment="1" applyProtection="1">
      <alignment horizontal="center" vertical="top"/>
    </xf>
  </cellXfs>
  <cellStyles count="129">
    <cellStyle name="20% - アクセント 1 2" xfId="5" xr:uid="{00000000-0005-0000-0000-000000000000}"/>
    <cellStyle name="20% - アクセント 2 2" xfId="6" xr:uid="{00000000-0005-0000-0000-000001000000}"/>
    <cellStyle name="20% - アクセント 3 2" xfId="7" xr:uid="{00000000-0005-0000-0000-000002000000}"/>
    <cellStyle name="20% - アクセント 4 2" xfId="8" xr:uid="{00000000-0005-0000-0000-000003000000}"/>
    <cellStyle name="20% - アクセント 5 2" xfId="9" xr:uid="{00000000-0005-0000-0000-000004000000}"/>
    <cellStyle name="20% - アクセント 6 2" xfId="10" xr:uid="{00000000-0005-0000-0000-000005000000}"/>
    <cellStyle name="40% - アクセント 1 2" xfId="11" xr:uid="{00000000-0005-0000-0000-000006000000}"/>
    <cellStyle name="40% - アクセント 2 2" xfId="12" xr:uid="{00000000-0005-0000-0000-000007000000}"/>
    <cellStyle name="40% - アクセント 3 2" xfId="13" xr:uid="{00000000-0005-0000-0000-000008000000}"/>
    <cellStyle name="40% - アクセント 4 2" xfId="14" xr:uid="{00000000-0005-0000-0000-000009000000}"/>
    <cellStyle name="40% - アクセント 5 2" xfId="15" xr:uid="{00000000-0005-0000-0000-00000A000000}"/>
    <cellStyle name="40% - アクセント 6 2" xfId="16" xr:uid="{00000000-0005-0000-0000-00000B000000}"/>
    <cellStyle name="60% - アクセント 1 2" xfId="17" xr:uid="{00000000-0005-0000-0000-00000C000000}"/>
    <cellStyle name="60% - アクセント 2 2" xfId="18" xr:uid="{00000000-0005-0000-0000-00000D000000}"/>
    <cellStyle name="60% - アクセント 3 2" xfId="19" xr:uid="{00000000-0005-0000-0000-00000E000000}"/>
    <cellStyle name="60% - アクセント 4 2" xfId="20" xr:uid="{00000000-0005-0000-0000-00000F000000}"/>
    <cellStyle name="60% - アクセント 5 2" xfId="21" xr:uid="{00000000-0005-0000-0000-000010000000}"/>
    <cellStyle name="60% - アクセント 6 2" xfId="22" xr:uid="{00000000-0005-0000-0000-000011000000}"/>
    <cellStyle name="アクセント 1 2" xfId="23" xr:uid="{00000000-0005-0000-0000-000012000000}"/>
    <cellStyle name="アクセント 2 2" xfId="24" xr:uid="{00000000-0005-0000-0000-000013000000}"/>
    <cellStyle name="アクセント 3 2" xfId="25" xr:uid="{00000000-0005-0000-0000-000014000000}"/>
    <cellStyle name="アクセント 4 2" xfId="26" xr:uid="{00000000-0005-0000-0000-000015000000}"/>
    <cellStyle name="アクセント 5 2" xfId="27" xr:uid="{00000000-0005-0000-0000-000016000000}"/>
    <cellStyle name="アクセント 6 2" xfId="28" xr:uid="{00000000-0005-0000-0000-000017000000}"/>
    <cellStyle name="タイトル 2" xfId="29" xr:uid="{00000000-0005-0000-0000-000018000000}"/>
    <cellStyle name="チェック セル 2" xfId="30" xr:uid="{00000000-0005-0000-0000-000019000000}"/>
    <cellStyle name="どちらでもない 2" xfId="31" xr:uid="{00000000-0005-0000-0000-00001A000000}"/>
    <cellStyle name="パーセント 2" xfId="32" xr:uid="{00000000-0005-0000-0000-00001B000000}"/>
    <cellStyle name="パーセント 2 2" xfId="59" xr:uid="{00000000-0005-0000-0000-00001C000000}"/>
    <cellStyle name="パーセント 2 3" xfId="60" xr:uid="{00000000-0005-0000-0000-00001D000000}"/>
    <cellStyle name="ハイパーリンク" xfId="2" builtinId="8"/>
    <cellStyle name="メモ 2" xfId="33" xr:uid="{00000000-0005-0000-0000-00001F000000}"/>
    <cellStyle name="リンク セル 2" xfId="34" xr:uid="{00000000-0005-0000-0000-000020000000}"/>
    <cellStyle name="悪い 2" xfId="35" xr:uid="{00000000-0005-0000-0000-000021000000}"/>
    <cellStyle name="計算 2" xfId="36" xr:uid="{00000000-0005-0000-0000-000022000000}"/>
    <cellStyle name="警告文 2" xfId="37" xr:uid="{00000000-0005-0000-0000-000023000000}"/>
    <cellStyle name="桁区切り 2" xfId="38" xr:uid="{00000000-0005-0000-0000-000024000000}"/>
    <cellStyle name="見出し 1 2" xfId="39" xr:uid="{00000000-0005-0000-0000-000025000000}"/>
    <cellStyle name="見出し 2 2" xfId="40" xr:uid="{00000000-0005-0000-0000-000026000000}"/>
    <cellStyle name="見出し 3 2" xfId="41" xr:uid="{00000000-0005-0000-0000-000027000000}"/>
    <cellStyle name="見出し 4 2" xfId="42" xr:uid="{00000000-0005-0000-0000-000028000000}"/>
    <cellStyle name="集計 2" xfId="43" xr:uid="{00000000-0005-0000-0000-000029000000}"/>
    <cellStyle name="出力 2" xfId="44" xr:uid="{00000000-0005-0000-0000-00002A000000}"/>
    <cellStyle name="説明文 2" xfId="45" xr:uid="{00000000-0005-0000-0000-00002B000000}"/>
    <cellStyle name="通貨 2" xfId="47" xr:uid="{00000000-0005-0000-0000-00002C000000}"/>
    <cellStyle name="通貨 2 2" xfId="61" xr:uid="{00000000-0005-0000-0000-00002D000000}"/>
    <cellStyle name="通貨 2 2 2" xfId="62" xr:uid="{00000000-0005-0000-0000-00002E000000}"/>
    <cellStyle name="通貨 2 2 3" xfId="63" xr:uid="{00000000-0005-0000-0000-00002F000000}"/>
    <cellStyle name="通貨 2 3" xfId="64" xr:uid="{00000000-0005-0000-0000-000030000000}"/>
    <cellStyle name="通貨 2 4" xfId="65" xr:uid="{00000000-0005-0000-0000-000031000000}"/>
    <cellStyle name="通貨 2 5" xfId="66" xr:uid="{00000000-0005-0000-0000-000032000000}"/>
    <cellStyle name="通貨 2 6" xfId="67" xr:uid="{00000000-0005-0000-0000-000033000000}"/>
    <cellStyle name="通貨 3" xfId="46" xr:uid="{00000000-0005-0000-0000-000034000000}"/>
    <cellStyle name="通貨 3 2" xfId="68" xr:uid="{00000000-0005-0000-0000-000035000000}"/>
    <cellStyle name="入力 2" xfId="48" xr:uid="{00000000-0005-0000-0000-000036000000}"/>
    <cellStyle name="標準" xfId="0" builtinId="0"/>
    <cellStyle name="標準 10" xfId="69" xr:uid="{00000000-0005-0000-0000-000038000000}"/>
    <cellStyle name="標準 11" xfId="70" xr:uid="{00000000-0005-0000-0000-000039000000}"/>
    <cellStyle name="標準 12" xfId="71" xr:uid="{00000000-0005-0000-0000-00003A000000}"/>
    <cellStyle name="標準 13" xfId="72" xr:uid="{00000000-0005-0000-0000-00003B000000}"/>
    <cellStyle name="標準 14" xfId="73" xr:uid="{00000000-0005-0000-0000-00003C000000}"/>
    <cellStyle name="標準 15" xfId="74" xr:uid="{00000000-0005-0000-0000-00003D000000}"/>
    <cellStyle name="標準 16" xfId="75" xr:uid="{00000000-0005-0000-0000-00003E000000}"/>
    <cellStyle name="標準 17" xfId="76" xr:uid="{00000000-0005-0000-0000-00003F000000}"/>
    <cellStyle name="標準 18" xfId="77" xr:uid="{00000000-0005-0000-0000-000040000000}"/>
    <cellStyle name="標準 19" xfId="78" xr:uid="{00000000-0005-0000-0000-000041000000}"/>
    <cellStyle name="標準 2" xfId="1" xr:uid="{00000000-0005-0000-0000-000042000000}"/>
    <cellStyle name="標準 2 2" xfId="50" xr:uid="{00000000-0005-0000-0000-000043000000}"/>
    <cellStyle name="標準 2 3" xfId="51" xr:uid="{00000000-0005-0000-0000-000044000000}"/>
    <cellStyle name="標準 2 3 2" xfId="79" xr:uid="{00000000-0005-0000-0000-000045000000}"/>
    <cellStyle name="標準 2 4" xfId="49" xr:uid="{00000000-0005-0000-0000-000046000000}"/>
    <cellStyle name="標準 2 5" xfId="80" xr:uid="{00000000-0005-0000-0000-000047000000}"/>
    <cellStyle name="標準 2 7" xfId="125" xr:uid="{00000000-0005-0000-0000-000048000000}"/>
    <cellStyle name="標準 20" xfId="81" xr:uid="{00000000-0005-0000-0000-000049000000}"/>
    <cellStyle name="標準 21" xfId="82" xr:uid="{00000000-0005-0000-0000-00004A000000}"/>
    <cellStyle name="標準 22" xfId="83" xr:uid="{00000000-0005-0000-0000-00004B000000}"/>
    <cellStyle name="標準 23" xfId="84" xr:uid="{00000000-0005-0000-0000-00004C000000}"/>
    <cellStyle name="標準 24" xfId="85" xr:uid="{00000000-0005-0000-0000-00004D000000}"/>
    <cellStyle name="標準 25" xfId="86" xr:uid="{00000000-0005-0000-0000-00004E000000}"/>
    <cellStyle name="標準 26" xfId="87" xr:uid="{00000000-0005-0000-0000-00004F000000}"/>
    <cellStyle name="標準 27" xfId="88" xr:uid="{00000000-0005-0000-0000-000050000000}"/>
    <cellStyle name="標準 28" xfId="89" xr:uid="{00000000-0005-0000-0000-000051000000}"/>
    <cellStyle name="標準 29" xfId="90" xr:uid="{00000000-0005-0000-0000-000052000000}"/>
    <cellStyle name="標準 3" xfId="52" xr:uid="{00000000-0005-0000-0000-000053000000}"/>
    <cellStyle name="標準 3 2" xfId="56" xr:uid="{00000000-0005-0000-0000-000054000000}"/>
    <cellStyle name="標準 3 3" xfId="126" xr:uid="{00000000-0005-0000-0000-000055000000}"/>
    <cellStyle name="標準 30" xfId="58" xr:uid="{00000000-0005-0000-0000-000056000000}"/>
    <cellStyle name="標準 31" xfId="91" xr:uid="{00000000-0005-0000-0000-000057000000}"/>
    <cellStyle name="標準 32" xfId="92" xr:uid="{00000000-0005-0000-0000-000058000000}"/>
    <cellStyle name="標準 33" xfId="93" xr:uid="{00000000-0005-0000-0000-000059000000}"/>
    <cellStyle name="標準 34" xfId="94" xr:uid="{00000000-0005-0000-0000-00005A000000}"/>
    <cellStyle name="標準 35" xfId="95" xr:uid="{00000000-0005-0000-0000-00005B000000}"/>
    <cellStyle name="標準 36" xfId="96" xr:uid="{00000000-0005-0000-0000-00005C000000}"/>
    <cellStyle name="標準 37" xfId="97" xr:uid="{00000000-0005-0000-0000-00005D000000}"/>
    <cellStyle name="標準 38" xfId="98" xr:uid="{00000000-0005-0000-0000-00005E000000}"/>
    <cellStyle name="標準 39" xfId="99" xr:uid="{00000000-0005-0000-0000-00005F000000}"/>
    <cellStyle name="標準 4" xfId="53" xr:uid="{00000000-0005-0000-0000-000060000000}"/>
    <cellStyle name="標準 4 2" xfId="100" xr:uid="{00000000-0005-0000-0000-000061000000}"/>
    <cellStyle name="標準 4 2 2" xfId="101" xr:uid="{00000000-0005-0000-0000-000062000000}"/>
    <cellStyle name="標準 4 3" xfId="102" xr:uid="{00000000-0005-0000-0000-000063000000}"/>
    <cellStyle name="標準 40" xfId="103" xr:uid="{00000000-0005-0000-0000-000064000000}"/>
    <cellStyle name="標準 41" xfId="104" xr:uid="{00000000-0005-0000-0000-000065000000}"/>
    <cellStyle name="標準 42" xfId="105" xr:uid="{00000000-0005-0000-0000-000066000000}"/>
    <cellStyle name="標準 43" xfId="106" xr:uid="{00000000-0005-0000-0000-000067000000}"/>
    <cellStyle name="標準 44" xfId="107" xr:uid="{00000000-0005-0000-0000-000068000000}"/>
    <cellStyle name="標準 45" xfId="108" xr:uid="{00000000-0005-0000-0000-000069000000}"/>
    <cellStyle name="標準 46" xfId="128" xr:uid="{00000000-0005-0000-0000-00006A000000}"/>
    <cellStyle name="標準 5" xfId="4" xr:uid="{00000000-0005-0000-0000-00006B000000}"/>
    <cellStyle name="標準 5 2" xfId="57" xr:uid="{00000000-0005-0000-0000-00006C000000}"/>
    <cellStyle name="標準 5 2 2" xfId="109" xr:uid="{00000000-0005-0000-0000-00006D000000}"/>
    <cellStyle name="標準 5 2 3" xfId="110" xr:uid="{00000000-0005-0000-0000-00006E000000}"/>
    <cellStyle name="標準 5 2 4" xfId="111" xr:uid="{00000000-0005-0000-0000-00006F000000}"/>
    <cellStyle name="標準 5 3" xfId="112" xr:uid="{00000000-0005-0000-0000-000070000000}"/>
    <cellStyle name="標準 5 4" xfId="113" xr:uid="{00000000-0005-0000-0000-000071000000}"/>
    <cellStyle name="標準 5 5" xfId="114" xr:uid="{00000000-0005-0000-0000-000072000000}"/>
    <cellStyle name="標準 6" xfId="55" xr:uid="{00000000-0005-0000-0000-000073000000}"/>
    <cellStyle name="標準 6 2" xfId="115" xr:uid="{00000000-0005-0000-0000-000074000000}"/>
    <cellStyle name="標準 7" xfId="116" xr:uid="{00000000-0005-0000-0000-000075000000}"/>
    <cellStyle name="標準 7 2" xfId="117" xr:uid="{00000000-0005-0000-0000-000076000000}"/>
    <cellStyle name="標準 7 3" xfId="120" xr:uid="{00000000-0005-0000-0000-000077000000}"/>
    <cellStyle name="標準 7 4" xfId="121" xr:uid="{00000000-0005-0000-0000-000078000000}"/>
    <cellStyle name="標準 7 5" xfId="127" xr:uid="{00000000-0005-0000-0000-000079000000}"/>
    <cellStyle name="標準 8" xfId="118" xr:uid="{00000000-0005-0000-0000-00007A000000}"/>
    <cellStyle name="標準 8 2" xfId="124" xr:uid="{00000000-0005-0000-0000-00007B000000}"/>
    <cellStyle name="標準 9" xfId="119" xr:uid="{00000000-0005-0000-0000-00007C000000}"/>
    <cellStyle name="標準 9 2" xfId="122" xr:uid="{00000000-0005-0000-0000-00007D000000}"/>
    <cellStyle name="標準 9 2 2" xfId="123" xr:uid="{00000000-0005-0000-0000-00007E000000}"/>
    <cellStyle name="標準_主要用途" xfId="3" xr:uid="{00000000-0005-0000-0000-000081000000}"/>
    <cellStyle name="良い 2" xfId="54" xr:uid="{00000000-0005-0000-0000-00008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FFCC"/>
  </sheetPr>
  <dimension ref="A1:AF74"/>
  <sheetViews>
    <sheetView zoomScaleNormal="100" workbookViewId="0">
      <pane xSplit="1" ySplit="2" topLeftCell="B3" activePane="bottomRight" state="frozen"/>
      <selection pane="topRight"/>
      <selection pane="bottomLeft"/>
      <selection pane="bottomRight" activeCell="J18" sqref="J18"/>
    </sheetView>
  </sheetViews>
  <sheetFormatPr defaultColWidth="9" defaultRowHeight="14.25" customHeight="1" x14ac:dyDescent="0.15"/>
  <cols>
    <col min="1" max="1" width="28.25" style="16" customWidth="1"/>
    <col min="2" max="2" width="23.375" style="16" customWidth="1"/>
    <col min="3" max="3" width="16.75" style="16" customWidth="1"/>
    <col min="4" max="5" width="3.625" style="14" customWidth="1"/>
    <col min="6" max="31" width="10.625" style="14" customWidth="1"/>
    <col min="32" max="32" width="16.125" style="14" bestFit="1" customWidth="1"/>
    <col min="33" max="33" width="9" style="14" customWidth="1"/>
    <col min="34" max="16384" width="9" style="14"/>
  </cols>
  <sheetData>
    <row r="1" spans="1:32" ht="63.75" customHeight="1" x14ac:dyDescent="0.15">
      <c r="A1" s="15" t="s">
        <v>397</v>
      </c>
      <c r="B1" s="15" t="s">
        <v>400</v>
      </c>
      <c r="C1" s="15" t="s">
        <v>399</v>
      </c>
      <c r="D1" s="295" t="s">
        <v>2402</v>
      </c>
      <c r="E1" s="295"/>
      <c r="F1" s="205" t="s">
        <v>2401</v>
      </c>
      <c r="G1" s="14" t="s">
        <v>2673</v>
      </c>
      <c r="H1" s="14" t="s">
        <v>2707</v>
      </c>
      <c r="I1" s="14" t="s">
        <v>2799</v>
      </c>
      <c r="J1" s="14" t="s">
        <v>2708</v>
      </c>
      <c r="K1" s="14" t="s">
        <v>2709</v>
      </c>
      <c r="L1" s="14" t="s">
        <v>2710</v>
      </c>
      <c r="M1" s="14" t="s">
        <v>2711</v>
      </c>
      <c r="N1" s="14" t="s">
        <v>2712</v>
      </c>
      <c r="O1" s="14" t="s">
        <v>2713</v>
      </c>
      <c r="P1" s="14" t="s">
        <v>2714</v>
      </c>
      <c r="Q1" s="14" t="s">
        <v>2675</v>
      </c>
      <c r="R1" s="14" t="s">
        <v>2677</v>
      </c>
      <c r="S1" s="14" t="s">
        <v>2715</v>
      </c>
      <c r="T1" s="14" t="s">
        <v>2716</v>
      </c>
      <c r="U1" s="14" t="s">
        <v>2717</v>
      </c>
      <c r="V1" s="14" t="s">
        <v>2718</v>
      </c>
      <c r="W1" s="14" t="s">
        <v>2719</v>
      </c>
      <c r="X1" s="14" t="s">
        <v>2720</v>
      </c>
      <c r="Y1" s="14" t="s">
        <v>2721</v>
      </c>
      <c r="Z1" s="14" t="s">
        <v>2722</v>
      </c>
      <c r="AA1" s="14" t="s">
        <v>2723</v>
      </c>
      <c r="AB1" s="14" t="s">
        <v>2789</v>
      </c>
      <c r="AC1" s="14" t="s">
        <v>2790</v>
      </c>
      <c r="AD1" s="14" t="s">
        <v>2791</v>
      </c>
      <c r="AE1" s="14" t="s">
        <v>2792</v>
      </c>
      <c r="AF1" s="14" t="s">
        <v>2405</v>
      </c>
    </row>
    <row r="2" spans="1:32" ht="14.25" customHeight="1" x14ac:dyDescent="0.15">
      <c r="G2" s="205">
        <f t="shared" ref="G2:AF2" si="0">IF(cst__output_sheetname=G1, 1, 0)</f>
        <v>0</v>
      </c>
      <c r="H2" s="205">
        <f t="shared" si="0"/>
        <v>0</v>
      </c>
      <c r="I2" s="205">
        <f>IF(cst__output_sheetname=I1, 1, 0)</f>
        <v>0</v>
      </c>
      <c r="J2" s="205">
        <f t="shared" si="0"/>
        <v>1</v>
      </c>
      <c r="K2" s="205">
        <f t="shared" si="0"/>
        <v>0</v>
      </c>
      <c r="L2" s="205">
        <f t="shared" si="0"/>
        <v>0</v>
      </c>
      <c r="M2" s="205">
        <f t="shared" si="0"/>
        <v>0</v>
      </c>
      <c r="N2" s="205">
        <f t="shared" si="0"/>
        <v>0</v>
      </c>
      <c r="O2" s="205">
        <f t="shared" si="0"/>
        <v>0</v>
      </c>
      <c r="P2" s="205">
        <f t="shared" si="0"/>
        <v>0</v>
      </c>
      <c r="Q2" s="205">
        <f t="shared" si="0"/>
        <v>0</v>
      </c>
      <c r="R2" s="205">
        <f t="shared" si="0"/>
        <v>0</v>
      </c>
      <c r="S2" s="205">
        <f t="shared" si="0"/>
        <v>0</v>
      </c>
      <c r="T2" s="205">
        <f t="shared" si="0"/>
        <v>0</v>
      </c>
      <c r="U2" s="205">
        <f t="shared" si="0"/>
        <v>0</v>
      </c>
      <c r="V2" s="205">
        <f t="shared" si="0"/>
        <v>0</v>
      </c>
      <c r="W2" s="205">
        <f t="shared" si="0"/>
        <v>0</v>
      </c>
      <c r="X2" s="205">
        <f t="shared" si="0"/>
        <v>0</v>
      </c>
      <c r="Y2" s="205">
        <f t="shared" si="0"/>
        <v>0</v>
      </c>
      <c r="Z2" s="205">
        <f t="shared" si="0"/>
        <v>0</v>
      </c>
      <c r="AA2" s="205">
        <f>IF(cst__output_sheetname=AA1, 1, 0)</f>
        <v>0</v>
      </c>
      <c r="AB2" s="205">
        <f>IF(cst__output_sheetname=AB1, 1, 0)</f>
        <v>0</v>
      </c>
      <c r="AC2" s="205">
        <f>IF(cst__output_sheetname=AC1, 1, 0)</f>
        <v>0</v>
      </c>
      <c r="AD2" s="205">
        <f t="shared" si="0"/>
        <v>0</v>
      </c>
      <c r="AE2" s="205">
        <f t="shared" si="0"/>
        <v>0</v>
      </c>
      <c r="AF2" s="205">
        <f t="shared" si="0"/>
        <v>0</v>
      </c>
    </row>
    <row r="4" spans="1:32" ht="14.25" customHeight="1" x14ac:dyDescent="0.15">
      <c r="A4" s="16" t="s">
        <v>2420</v>
      </c>
      <c r="B4" s="16">
        <v>-2</v>
      </c>
      <c r="C4" s="16">
        <v>-2</v>
      </c>
    </row>
    <row r="5" spans="1:32" ht="14.25" customHeight="1" x14ac:dyDescent="0.15">
      <c r="A5" s="16" t="s">
        <v>401</v>
      </c>
      <c r="B5" s="16">
        <v>-2</v>
      </c>
      <c r="C5" s="16">
        <v>-2</v>
      </c>
    </row>
    <row r="6" spans="1:32" ht="14.25" customHeight="1" x14ac:dyDescent="0.15">
      <c r="A6" s="16" t="s">
        <v>402</v>
      </c>
      <c r="B6" s="16">
        <v>-2</v>
      </c>
      <c r="C6" s="16">
        <v>-2</v>
      </c>
    </row>
    <row r="7" spans="1:32" ht="14.25" customHeight="1" x14ac:dyDescent="0.15">
      <c r="A7" s="16" t="s">
        <v>1218</v>
      </c>
      <c r="B7" s="16">
        <v>-2</v>
      </c>
      <c r="C7" s="16">
        <v>-2</v>
      </c>
    </row>
    <row r="8" spans="1:32" ht="14.25" customHeight="1" x14ac:dyDescent="0.15">
      <c r="A8" s="16" t="s">
        <v>403</v>
      </c>
      <c r="B8" s="16">
        <v>-2</v>
      </c>
      <c r="C8" s="16">
        <v>-2</v>
      </c>
    </row>
    <row r="10" spans="1:32" ht="14.25" customHeight="1" x14ac:dyDescent="0.15">
      <c r="B10" s="16">
        <f t="shared" ref="B10" si="1">D10</f>
        <v>0</v>
      </c>
      <c r="D10" s="14">
        <f>IF(F10&lt;&gt;"",IF(F10=1,IF(F10+E10=2,1,0),F10),E10)</f>
        <v>0</v>
      </c>
      <c r="E10" s="14">
        <f t="shared" ref="E10:E39" si="2">IF(cst__output_sheetname="", 1, 0)+IF(AND(G10=1,G$2=1), 1, 0)+IF(AND(H10=1,H$2=1), 1, 0)+IF(AND(I10=1,I$2=1), 1, 0)+IF(AND(J10=1,J$2=1), 1, 0)+IF(AND(K10=1,K$2=1), 1, 0)+IF(AND(L10=1,L$2=1), 1, 0)+IF(AND(M10=1,M$2=1), 1, 0)+IF(AND(N10=1,N$2=1), 1, 0)+IF(AND(O10=1,O$2=1), 1, 0)+IF(AND(P10=1,P$2=1), 1, 0)+IF(AND(Q10=1,Q$2=1), 1, 0)+IF(AND(R10=1,R$2=1), 1, 0)+IF(AND(S10=1,S$2=1), 1, 0)+IF(AND(T10=1,T$2=1), 1, 0)+IF(AND(U10=1,U$2=1), 1, 0)+IF(AND(V10=1,V$2=1), 1, 0)+IF(AND(W10=1,W$2=1), 1, 0)+IF(AND(X10=1,X$2=1), 1, 0)+IF(AND(Y10=1,Y$2=1), 1, 0)+IF(AND(Z10=1,Z$2=1), 1, 0)+IF(AND(AA10=1,AA$2=1), 1, 0)+IF(AND(AB10=1,AB$2=1), 1, 0)+IF(AND(AC10=1,AC$2=1), 1, 0)+IF(AND(AD10=1,AD$2=1), 1, 0)+IF(AND(AE10=1,AE$2=1), 1, 0)+IF(AND(AF10=1,AF$2=1), 1, 0)</f>
        <v>0</v>
      </c>
    </row>
    <row r="11" spans="1:32" ht="14.25" customHeight="1" x14ac:dyDescent="0.15">
      <c r="A11" s="16" t="s">
        <v>504</v>
      </c>
      <c r="B11" s="16">
        <f t="shared" ref="B11:B12" si="3">D11</f>
        <v>-2</v>
      </c>
      <c r="D11" s="14">
        <f t="shared" ref="D11:D13" si="4">IF(F11&lt;&gt;"",IF(F11=1,IF(F11+E11=2,1,0),F11),E11)</f>
        <v>-2</v>
      </c>
      <c r="E11" s="14">
        <f t="shared" si="2"/>
        <v>0</v>
      </c>
      <c r="F11" s="206">
        <v>-2</v>
      </c>
    </row>
    <row r="12" spans="1:32" ht="14.25" customHeight="1" x14ac:dyDescent="0.15">
      <c r="A12" s="16" t="s">
        <v>505</v>
      </c>
      <c r="B12" s="16">
        <f t="shared" si="3"/>
        <v>-2</v>
      </c>
      <c r="D12" s="14">
        <f t="shared" si="4"/>
        <v>-2</v>
      </c>
      <c r="E12" s="14">
        <f t="shared" si="2"/>
        <v>0</v>
      </c>
      <c r="F12" s="206">
        <v>-2</v>
      </c>
    </row>
    <row r="13" spans="1:32" ht="14.25" customHeight="1" x14ac:dyDescent="0.15">
      <c r="B13" s="16">
        <f>D13</f>
        <v>0</v>
      </c>
      <c r="D13" s="14">
        <f t="shared" si="4"/>
        <v>0</v>
      </c>
      <c r="E13" s="14">
        <f t="shared" si="2"/>
        <v>0</v>
      </c>
    </row>
    <row r="14" spans="1:32" ht="14.25" customHeight="1" x14ac:dyDescent="0.15">
      <c r="A14" s="16" t="s">
        <v>2673</v>
      </c>
      <c r="B14" s="16">
        <f t="shared" ref="B14:B67" si="5">D14</f>
        <v>0</v>
      </c>
      <c r="D14" s="14">
        <f t="shared" ref="D14" si="6">IF(F14&lt;&gt;"",IF(F14=1,IF(F14+E14=2,1,0),F14),E14)</f>
        <v>0</v>
      </c>
      <c r="E14" s="14">
        <f t="shared" si="2"/>
        <v>0</v>
      </c>
      <c r="G14" s="14">
        <v>1</v>
      </c>
    </row>
    <row r="15" spans="1:32" ht="14.25" customHeight="1" x14ac:dyDescent="0.15">
      <c r="A15" s="16" t="s">
        <v>2707</v>
      </c>
      <c r="B15" s="16">
        <f>D15</f>
        <v>0</v>
      </c>
      <c r="D15" s="14">
        <f t="shared" ref="D15" si="7">IF(F15&lt;&gt;"",IF(F15=1,IF(F15+E15=2,1,0),F15),E15)</f>
        <v>0</v>
      </c>
      <c r="E15" s="14">
        <f t="shared" si="2"/>
        <v>0</v>
      </c>
      <c r="F15" s="205">
        <f>IF(showsheetflag_建築工事届K=1, 0, 1)</f>
        <v>1</v>
      </c>
      <c r="H15" s="14">
        <v>1</v>
      </c>
    </row>
    <row r="16" spans="1:32" ht="14.25" customHeight="1" x14ac:dyDescent="0.15">
      <c r="A16" s="16" t="s">
        <v>2725</v>
      </c>
      <c r="B16" s="16">
        <f t="shared" si="5"/>
        <v>0</v>
      </c>
      <c r="D16" s="14">
        <f t="shared" ref="D16:D67" si="8">IF(F16&lt;&gt;"",IF(F16=1,IF(F16+E16=2,1,0),F16),E16)</f>
        <v>0</v>
      </c>
      <c r="E16" s="14">
        <f t="shared" si="2"/>
        <v>0</v>
      </c>
      <c r="F16" s="205">
        <f>IF(cst_wskakunin_sekou1__kistar, 1, 0)</f>
        <v>0</v>
      </c>
      <c r="H16" s="14">
        <v>1</v>
      </c>
    </row>
    <row r="17" spans="1:18" ht="14.25" customHeight="1" x14ac:dyDescent="0.15">
      <c r="A17" s="16" t="s">
        <v>2800</v>
      </c>
      <c r="B17" s="16">
        <f t="shared" si="5"/>
        <v>0</v>
      </c>
      <c r="D17" s="14">
        <f t="shared" si="8"/>
        <v>0</v>
      </c>
      <c r="E17" s="14">
        <f t="shared" si="2"/>
        <v>0</v>
      </c>
      <c r="F17" s="205"/>
      <c r="I17" s="14">
        <v>1</v>
      </c>
    </row>
    <row r="18" spans="1:18" ht="14.25" customHeight="1" x14ac:dyDescent="0.15">
      <c r="A18" s="16" t="s">
        <v>2764</v>
      </c>
      <c r="B18" s="16">
        <f t="shared" si="5"/>
        <v>1</v>
      </c>
      <c r="D18" s="14">
        <f t="shared" si="8"/>
        <v>1</v>
      </c>
      <c r="E18" s="14">
        <f t="shared" si="2"/>
        <v>1</v>
      </c>
      <c r="J18" s="14">
        <v>1</v>
      </c>
    </row>
    <row r="19" spans="1:18" ht="14.25" customHeight="1" x14ac:dyDescent="0.15">
      <c r="A19" s="16" t="s">
        <v>2726</v>
      </c>
      <c r="B19" s="16">
        <f t="shared" si="5"/>
        <v>0</v>
      </c>
      <c r="D19" s="14">
        <f t="shared" si="8"/>
        <v>0</v>
      </c>
      <c r="E19" s="14">
        <f t="shared" si="2"/>
        <v>0</v>
      </c>
      <c r="K19" s="14">
        <v>1</v>
      </c>
    </row>
    <row r="20" spans="1:18" ht="14.25" customHeight="1" x14ac:dyDescent="0.15">
      <c r="A20" s="16" t="s">
        <v>2727</v>
      </c>
      <c r="B20" s="16">
        <f t="shared" si="5"/>
        <v>0</v>
      </c>
      <c r="D20" s="14">
        <f t="shared" si="8"/>
        <v>0</v>
      </c>
      <c r="E20" s="14">
        <f t="shared" si="2"/>
        <v>0</v>
      </c>
      <c r="K20" s="14">
        <v>1</v>
      </c>
    </row>
    <row r="21" spans="1:18" ht="14.25" customHeight="1" x14ac:dyDescent="0.15">
      <c r="A21" s="16" t="s">
        <v>2728</v>
      </c>
      <c r="B21" s="16">
        <f t="shared" si="5"/>
        <v>0</v>
      </c>
      <c r="D21" s="14">
        <f t="shared" si="8"/>
        <v>0</v>
      </c>
      <c r="E21" s="14">
        <f t="shared" si="2"/>
        <v>0</v>
      </c>
      <c r="K21" s="14">
        <v>1</v>
      </c>
    </row>
    <row r="22" spans="1:18" ht="14.25" customHeight="1" x14ac:dyDescent="0.15">
      <c r="A22" s="16" t="s">
        <v>2729</v>
      </c>
      <c r="B22" s="16">
        <f t="shared" si="5"/>
        <v>0</v>
      </c>
      <c r="D22" s="14">
        <f t="shared" si="8"/>
        <v>0</v>
      </c>
      <c r="E22" s="14">
        <f t="shared" si="2"/>
        <v>0</v>
      </c>
      <c r="K22" s="14">
        <v>1</v>
      </c>
    </row>
    <row r="23" spans="1:18" ht="14.25" customHeight="1" x14ac:dyDescent="0.15">
      <c r="A23" s="16" t="s">
        <v>2730</v>
      </c>
      <c r="B23" s="16">
        <f t="shared" si="5"/>
        <v>0</v>
      </c>
      <c r="D23" s="14">
        <f t="shared" si="8"/>
        <v>0</v>
      </c>
      <c r="E23" s="14">
        <f t="shared" si="2"/>
        <v>0</v>
      </c>
      <c r="K23" s="14">
        <v>1</v>
      </c>
    </row>
    <row r="24" spans="1:18" ht="14.25" customHeight="1" x14ac:dyDescent="0.15">
      <c r="A24" s="16" t="s">
        <v>2731</v>
      </c>
      <c r="B24" s="16">
        <f t="shared" si="5"/>
        <v>0</v>
      </c>
      <c r="D24" s="14">
        <f t="shared" si="8"/>
        <v>0</v>
      </c>
      <c r="E24" s="14">
        <f t="shared" si="2"/>
        <v>0</v>
      </c>
      <c r="K24" s="14">
        <v>1</v>
      </c>
    </row>
    <row r="25" spans="1:18" ht="14.25" customHeight="1" x14ac:dyDescent="0.15">
      <c r="A25" s="16" t="s">
        <v>2732</v>
      </c>
      <c r="B25" s="16">
        <f t="shared" si="5"/>
        <v>0</v>
      </c>
      <c r="D25" s="14">
        <f t="shared" si="8"/>
        <v>0</v>
      </c>
      <c r="E25" s="14">
        <f t="shared" si="2"/>
        <v>0</v>
      </c>
      <c r="K25" s="14">
        <v>1</v>
      </c>
    </row>
    <row r="26" spans="1:18" ht="14.25" customHeight="1" x14ac:dyDescent="0.15">
      <c r="A26" s="16" t="s">
        <v>2710</v>
      </c>
      <c r="B26" s="16">
        <f t="shared" si="5"/>
        <v>0</v>
      </c>
      <c r="D26" s="14">
        <f t="shared" si="8"/>
        <v>0</v>
      </c>
      <c r="E26" s="14">
        <f t="shared" si="2"/>
        <v>0</v>
      </c>
      <c r="L26" s="14">
        <v>1</v>
      </c>
    </row>
    <row r="27" spans="1:18" ht="14.25" customHeight="1" x14ac:dyDescent="0.15">
      <c r="A27" s="16" t="s">
        <v>2711</v>
      </c>
      <c r="B27" s="16">
        <f t="shared" si="5"/>
        <v>0</v>
      </c>
      <c r="D27" s="14">
        <f t="shared" si="8"/>
        <v>0</v>
      </c>
      <c r="E27" s="14">
        <f t="shared" si="2"/>
        <v>0</v>
      </c>
      <c r="M27" s="14">
        <v>1</v>
      </c>
    </row>
    <row r="28" spans="1:18" ht="14.25" customHeight="1" x14ac:dyDescent="0.15">
      <c r="A28" s="16" t="s">
        <v>2712</v>
      </c>
      <c r="B28" s="16">
        <f t="shared" si="5"/>
        <v>0</v>
      </c>
      <c r="D28" s="14">
        <f t="shared" si="8"/>
        <v>0</v>
      </c>
      <c r="E28" s="14">
        <f t="shared" si="2"/>
        <v>0</v>
      </c>
      <c r="N28" s="14">
        <v>1</v>
      </c>
    </row>
    <row r="29" spans="1:18" ht="14.25" customHeight="1" x14ac:dyDescent="0.15">
      <c r="A29" s="16" t="s">
        <v>2713</v>
      </c>
      <c r="B29" s="16">
        <f t="shared" si="5"/>
        <v>0</v>
      </c>
      <c r="D29" s="14">
        <f t="shared" si="8"/>
        <v>0</v>
      </c>
      <c r="E29" s="14">
        <f t="shared" si="2"/>
        <v>0</v>
      </c>
      <c r="O29" s="14">
        <v>1</v>
      </c>
    </row>
    <row r="30" spans="1:18" ht="14.25" customHeight="1" x14ac:dyDescent="0.15">
      <c r="A30" s="16" t="s">
        <v>2733</v>
      </c>
      <c r="B30" s="16">
        <f t="shared" si="5"/>
        <v>0</v>
      </c>
      <c r="D30" s="14">
        <f t="shared" si="8"/>
        <v>0</v>
      </c>
      <c r="E30" s="14">
        <f t="shared" si="2"/>
        <v>0</v>
      </c>
      <c r="P30" s="14">
        <v>1</v>
      </c>
    </row>
    <row r="31" spans="1:18" ht="14.25" customHeight="1" x14ac:dyDescent="0.15">
      <c r="A31" s="16" t="s">
        <v>2675</v>
      </c>
      <c r="B31" s="16">
        <f t="shared" si="5"/>
        <v>0</v>
      </c>
      <c r="D31" s="14">
        <f t="shared" si="8"/>
        <v>0</v>
      </c>
      <c r="E31" s="14">
        <f t="shared" si="2"/>
        <v>0</v>
      </c>
      <c r="Q31" s="14">
        <v>1</v>
      </c>
    </row>
    <row r="32" spans="1:18" ht="14.25" customHeight="1" x14ac:dyDescent="0.15">
      <c r="A32" s="16" t="s">
        <v>2677</v>
      </c>
      <c r="B32" s="16">
        <f t="shared" si="5"/>
        <v>0</v>
      </c>
      <c r="D32" s="14">
        <f t="shared" si="8"/>
        <v>0</v>
      </c>
      <c r="E32" s="14">
        <f t="shared" si="2"/>
        <v>0</v>
      </c>
      <c r="R32" s="14">
        <v>1</v>
      </c>
    </row>
    <row r="33" spans="1:24" ht="14.25" customHeight="1" x14ac:dyDescent="0.15">
      <c r="A33" s="16" t="s">
        <v>2734</v>
      </c>
      <c r="B33" s="16">
        <f t="shared" si="5"/>
        <v>0</v>
      </c>
      <c r="D33" s="14">
        <f t="shared" si="8"/>
        <v>0</v>
      </c>
      <c r="E33" s="14">
        <f t="shared" si="2"/>
        <v>0</v>
      </c>
      <c r="S33" s="14">
        <v>1</v>
      </c>
    </row>
    <row r="34" spans="1:24" ht="14.25" customHeight="1" x14ac:dyDescent="0.15">
      <c r="A34" s="16" t="s">
        <v>2735</v>
      </c>
      <c r="B34" s="16">
        <f t="shared" si="5"/>
        <v>0</v>
      </c>
      <c r="D34" s="14">
        <f t="shared" si="8"/>
        <v>0</v>
      </c>
      <c r="E34" s="14">
        <f t="shared" si="2"/>
        <v>0</v>
      </c>
      <c r="S34" s="14">
        <v>1</v>
      </c>
    </row>
    <row r="35" spans="1:24" ht="14.25" customHeight="1" x14ac:dyDescent="0.15">
      <c r="A35" s="16" t="s">
        <v>2736</v>
      </c>
      <c r="B35" s="16">
        <f t="shared" si="5"/>
        <v>0</v>
      </c>
      <c r="D35" s="14">
        <f t="shared" si="8"/>
        <v>0</v>
      </c>
      <c r="E35" s="14">
        <f t="shared" si="2"/>
        <v>0</v>
      </c>
      <c r="T35" s="14">
        <v>1</v>
      </c>
    </row>
    <row r="36" spans="1:24" ht="14.25" customHeight="1" x14ac:dyDescent="0.15">
      <c r="A36" s="16" t="s">
        <v>2737</v>
      </c>
      <c r="B36" s="16">
        <f t="shared" si="5"/>
        <v>0</v>
      </c>
      <c r="D36" s="14">
        <f t="shared" si="8"/>
        <v>0</v>
      </c>
      <c r="E36" s="14">
        <f t="shared" si="2"/>
        <v>0</v>
      </c>
      <c r="T36" s="14">
        <v>1</v>
      </c>
    </row>
    <row r="37" spans="1:24" ht="14.25" customHeight="1" x14ac:dyDescent="0.15">
      <c r="A37" s="16" t="s">
        <v>2738</v>
      </c>
      <c r="B37" s="16">
        <f t="shared" si="5"/>
        <v>0</v>
      </c>
      <c r="D37" s="14">
        <f t="shared" si="8"/>
        <v>0</v>
      </c>
      <c r="E37" s="14">
        <f t="shared" si="2"/>
        <v>0</v>
      </c>
      <c r="U37" s="14">
        <v>1</v>
      </c>
    </row>
    <row r="38" spans="1:24" ht="14.25" customHeight="1" x14ac:dyDescent="0.15">
      <c r="A38" s="16" t="s">
        <v>2739</v>
      </c>
      <c r="B38" s="16">
        <f t="shared" si="5"/>
        <v>0</v>
      </c>
      <c r="D38" s="14">
        <f t="shared" si="8"/>
        <v>0</v>
      </c>
      <c r="E38" s="14">
        <f t="shared" si="2"/>
        <v>0</v>
      </c>
      <c r="U38" s="14">
        <v>1</v>
      </c>
    </row>
    <row r="39" spans="1:24" ht="14.25" customHeight="1" x14ac:dyDescent="0.15">
      <c r="A39" s="276" t="s">
        <v>2718</v>
      </c>
      <c r="B39" s="16">
        <f t="shared" si="5"/>
        <v>0</v>
      </c>
      <c r="D39" s="14">
        <f t="shared" si="8"/>
        <v>0</v>
      </c>
      <c r="E39" s="14">
        <f t="shared" si="2"/>
        <v>0</v>
      </c>
      <c r="F39" s="205">
        <f>IF(showsheetflag_設計住宅性能評価申請書H=1, 0, 1)</f>
        <v>1</v>
      </c>
      <c r="V39" s="14">
        <v>1</v>
      </c>
    </row>
    <row r="40" spans="1:24" ht="14.25" customHeight="1" x14ac:dyDescent="0.15">
      <c r="A40" s="276" t="s">
        <v>2740</v>
      </c>
      <c r="B40" s="16">
        <f t="shared" si="5"/>
        <v>0</v>
      </c>
      <c r="C40" s="16" t="s">
        <v>2758</v>
      </c>
      <c r="D40" s="14">
        <f t="shared" si="8"/>
        <v>0</v>
      </c>
      <c r="E40" s="14">
        <f t="shared" ref="E40:E70" si="9">IF(cst__output_sheetname="", 1, 0)+IF(AND(G40=1,G$2=1), 1, 0)+IF(AND(H40=1,H$2=1), 1, 0)+IF(AND(I40=1,I$2=1), 1, 0)+IF(AND(J40=1,J$2=1), 1, 0)+IF(AND(K40=1,K$2=1), 1, 0)+IF(AND(L40=1,L$2=1), 1, 0)+IF(AND(M40=1,M$2=1), 1, 0)+IF(AND(N40=1,N$2=1), 1, 0)+IF(AND(O40=1,O$2=1), 1, 0)+IF(AND(P40=1,P$2=1), 1, 0)+IF(AND(Q40=1,Q$2=1), 1, 0)+IF(AND(R40=1,R$2=1), 1, 0)+IF(AND(S40=1,S$2=1), 1, 0)+IF(AND(T40=1,T$2=1), 1, 0)+IF(AND(U40=1,U$2=1), 1, 0)+IF(AND(V40=1,V$2=1), 1, 0)+IF(AND(W40=1,W$2=1), 1, 0)+IF(AND(X40=1,X$2=1), 1, 0)+IF(AND(Y40=1,Y$2=1), 1, 0)+IF(AND(Z40=1,Z$2=1), 1, 0)+IF(AND(AA40=1,AA$2=1), 1, 0)+IF(AND(AB40=1,AB$2=1), 1, 0)+IF(AND(AC40=1,AC$2=1), 1, 0)+IF(AND(AD40=1,AD$2=1), 1, 0)+IF(AND(AE40=1,AE$2=1), 1, 0)+IF(AND(AF40=1,AF$2=1), 1, 0)</f>
        <v>0</v>
      </c>
      <c r="F40" s="205">
        <f>IF(cst_wskakunin_sekou1__hajime, 1, 0)</f>
        <v>0</v>
      </c>
      <c r="V40" s="14">
        <v>1</v>
      </c>
    </row>
    <row r="41" spans="1:24" ht="14.25" customHeight="1" x14ac:dyDescent="0.15">
      <c r="A41" s="16" t="s">
        <v>115</v>
      </c>
      <c r="B41" s="16">
        <f t="shared" si="5"/>
        <v>0</v>
      </c>
      <c r="D41" s="14">
        <f t="shared" si="8"/>
        <v>0</v>
      </c>
      <c r="E41" s="14">
        <f t="shared" si="9"/>
        <v>0</v>
      </c>
      <c r="W41" s="14">
        <v>1</v>
      </c>
    </row>
    <row r="42" spans="1:24" ht="14.25" customHeight="1" x14ac:dyDescent="0.15">
      <c r="A42" s="16" t="s">
        <v>2741</v>
      </c>
      <c r="B42" s="16">
        <f t="shared" si="5"/>
        <v>0</v>
      </c>
      <c r="D42" s="14">
        <f t="shared" si="8"/>
        <v>0</v>
      </c>
      <c r="E42" s="14">
        <f t="shared" si="9"/>
        <v>0</v>
      </c>
      <c r="X42" s="14">
        <v>1</v>
      </c>
    </row>
    <row r="43" spans="1:24" ht="14.25" customHeight="1" x14ac:dyDescent="0.15">
      <c r="A43" s="16" t="s">
        <v>2742</v>
      </c>
      <c r="B43" s="16">
        <f t="shared" si="5"/>
        <v>0</v>
      </c>
      <c r="D43" s="14">
        <f t="shared" si="8"/>
        <v>0</v>
      </c>
      <c r="E43" s="14">
        <f t="shared" si="9"/>
        <v>0</v>
      </c>
      <c r="X43" s="14">
        <v>1</v>
      </c>
    </row>
    <row r="44" spans="1:24" ht="14.25" customHeight="1" x14ac:dyDescent="0.15">
      <c r="A44" s="16" t="s">
        <v>2743</v>
      </c>
      <c r="B44" s="16">
        <f t="shared" si="5"/>
        <v>0</v>
      </c>
      <c r="D44" s="14">
        <f t="shared" si="8"/>
        <v>0</v>
      </c>
      <c r="E44" s="14">
        <f t="shared" si="9"/>
        <v>0</v>
      </c>
      <c r="X44" s="14">
        <v>1</v>
      </c>
    </row>
    <row r="45" spans="1:24" ht="14.25" customHeight="1" x14ac:dyDescent="0.15">
      <c r="A45" s="16" t="s">
        <v>2744</v>
      </c>
      <c r="B45" s="16">
        <f t="shared" si="5"/>
        <v>0</v>
      </c>
      <c r="D45" s="14">
        <f t="shared" si="8"/>
        <v>0</v>
      </c>
      <c r="E45" s="14">
        <f t="shared" si="9"/>
        <v>0</v>
      </c>
      <c r="X45" s="14">
        <v>1</v>
      </c>
    </row>
    <row r="46" spans="1:24" ht="14.25" customHeight="1" x14ac:dyDescent="0.15">
      <c r="A46" s="16" t="s">
        <v>2745</v>
      </c>
      <c r="B46" s="16">
        <f t="shared" si="5"/>
        <v>0</v>
      </c>
      <c r="D46" s="14">
        <f t="shared" si="8"/>
        <v>0</v>
      </c>
      <c r="E46" s="14">
        <f t="shared" si="9"/>
        <v>0</v>
      </c>
      <c r="X46" s="14">
        <v>1</v>
      </c>
    </row>
    <row r="47" spans="1:24" ht="14.25" customHeight="1" x14ac:dyDescent="0.15">
      <c r="A47" s="16" t="s">
        <v>2746</v>
      </c>
      <c r="B47" s="16">
        <f t="shared" si="5"/>
        <v>0</v>
      </c>
      <c r="D47" s="14">
        <f t="shared" si="8"/>
        <v>0</v>
      </c>
      <c r="E47" s="14">
        <f t="shared" si="9"/>
        <v>0</v>
      </c>
      <c r="X47" s="14">
        <v>1</v>
      </c>
    </row>
    <row r="48" spans="1:24" ht="14.25" customHeight="1" x14ac:dyDescent="0.15">
      <c r="A48" s="16" t="s">
        <v>2747</v>
      </c>
      <c r="B48" s="16">
        <f t="shared" si="5"/>
        <v>0</v>
      </c>
      <c r="D48" s="14">
        <f t="shared" si="8"/>
        <v>0</v>
      </c>
      <c r="E48" s="14">
        <f t="shared" si="9"/>
        <v>0</v>
      </c>
      <c r="X48" s="14">
        <v>1</v>
      </c>
    </row>
    <row r="49" spans="1:31" ht="14.25" customHeight="1" x14ac:dyDescent="0.15">
      <c r="A49" s="16" t="s">
        <v>2748</v>
      </c>
      <c r="B49" s="16">
        <f t="shared" si="5"/>
        <v>0</v>
      </c>
      <c r="D49" s="14">
        <f t="shared" si="8"/>
        <v>0</v>
      </c>
      <c r="E49" s="14">
        <f t="shared" si="9"/>
        <v>0</v>
      </c>
      <c r="X49" s="14">
        <v>1</v>
      </c>
    </row>
    <row r="50" spans="1:31" ht="14.25" customHeight="1" x14ac:dyDescent="0.15">
      <c r="A50" s="16" t="s">
        <v>2749</v>
      </c>
      <c r="B50" s="16">
        <f t="shared" si="5"/>
        <v>0</v>
      </c>
      <c r="D50" s="14">
        <f t="shared" si="8"/>
        <v>0</v>
      </c>
      <c r="E50" s="14">
        <f t="shared" si="9"/>
        <v>0</v>
      </c>
      <c r="Y50" s="14">
        <v>1</v>
      </c>
    </row>
    <row r="51" spans="1:31" ht="14.25" customHeight="1" x14ac:dyDescent="0.15">
      <c r="A51" s="16" t="s">
        <v>2750</v>
      </c>
      <c r="B51" s="16">
        <f t="shared" si="5"/>
        <v>0</v>
      </c>
      <c r="D51" s="14">
        <f t="shared" si="8"/>
        <v>0</v>
      </c>
      <c r="E51" s="14">
        <f t="shared" si="9"/>
        <v>0</v>
      </c>
      <c r="Y51" s="14">
        <v>1</v>
      </c>
    </row>
    <row r="52" spans="1:31" ht="14.25" customHeight="1" x14ac:dyDescent="0.15">
      <c r="A52" s="16" t="s">
        <v>2751</v>
      </c>
      <c r="B52" s="16">
        <f t="shared" si="5"/>
        <v>0</v>
      </c>
      <c r="D52" s="14">
        <f t="shared" si="8"/>
        <v>0</v>
      </c>
      <c r="E52" s="14">
        <f t="shared" si="9"/>
        <v>0</v>
      </c>
      <c r="Y52" s="14">
        <v>1</v>
      </c>
    </row>
    <row r="53" spans="1:31" ht="14.25" customHeight="1" x14ac:dyDescent="0.15">
      <c r="A53" s="16" t="s">
        <v>2752</v>
      </c>
      <c r="B53" s="16">
        <f t="shared" si="5"/>
        <v>0</v>
      </c>
      <c r="D53" s="14">
        <f t="shared" si="8"/>
        <v>0</v>
      </c>
      <c r="E53" s="14">
        <f t="shared" si="9"/>
        <v>0</v>
      </c>
      <c r="Y53" s="14">
        <v>1</v>
      </c>
    </row>
    <row r="54" spans="1:31" ht="14.25" customHeight="1" x14ac:dyDescent="0.15">
      <c r="A54" s="16" t="s">
        <v>2753</v>
      </c>
      <c r="B54" s="16">
        <f t="shared" si="5"/>
        <v>0</v>
      </c>
      <c r="D54" s="14">
        <f t="shared" si="8"/>
        <v>0</v>
      </c>
      <c r="E54" s="14">
        <f t="shared" si="9"/>
        <v>0</v>
      </c>
      <c r="Y54" s="14">
        <v>1</v>
      </c>
    </row>
    <row r="55" spans="1:31" ht="14.25" customHeight="1" x14ac:dyDescent="0.15">
      <c r="A55" s="16" t="s">
        <v>2754</v>
      </c>
      <c r="B55" s="16">
        <f t="shared" si="5"/>
        <v>0</v>
      </c>
      <c r="D55" s="14">
        <f t="shared" si="8"/>
        <v>0</v>
      </c>
      <c r="E55" s="14">
        <f t="shared" si="9"/>
        <v>0</v>
      </c>
      <c r="Y55" s="14">
        <v>1</v>
      </c>
    </row>
    <row r="56" spans="1:31" ht="14.25" customHeight="1" x14ac:dyDescent="0.15">
      <c r="A56" s="16" t="s">
        <v>2755</v>
      </c>
      <c r="B56" s="16">
        <f t="shared" si="5"/>
        <v>0</v>
      </c>
      <c r="D56" s="14">
        <f t="shared" si="8"/>
        <v>0</v>
      </c>
      <c r="E56" s="14">
        <f t="shared" si="9"/>
        <v>0</v>
      </c>
      <c r="Y56" s="14">
        <v>1</v>
      </c>
    </row>
    <row r="57" spans="1:31" ht="14.25" customHeight="1" x14ac:dyDescent="0.15">
      <c r="A57" s="16" t="s">
        <v>2756</v>
      </c>
      <c r="B57" s="16">
        <f t="shared" si="5"/>
        <v>0</v>
      </c>
      <c r="D57" s="14">
        <f t="shared" si="8"/>
        <v>0</v>
      </c>
      <c r="E57" s="14">
        <f t="shared" si="9"/>
        <v>0</v>
      </c>
      <c r="Y57" s="14">
        <v>1</v>
      </c>
    </row>
    <row r="58" spans="1:31" ht="14.25" customHeight="1" x14ac:dyDescent="0.15">
      <c r="A58" s="16" t="s">
        <v>2757</v>
      </c>
      <c r="B58" s="16">
        <f t="shared" si="5"/>
        <v>0</v>
      </c>
      <c r="D58" s="14">
        <f t="shared" si="8"/>
        <v>0</v>
      </c>
      <c r="E58" s="14">
        <f t="shared" si="9"/>
        <v>0</v>
      </c>
      <c r="Y58" s="14">
        <v>1</v>
      </c>
    </row>
    <row r="59" spans="1:31" ht="14.25" customHeight="1" x14ac:dyDescent="0.15">
      <c r="A59" s="16" t="s">
        <v>2794</v>
      </c>
      <c r="B59" s="16">
        <f t="shared" si="5"/>
        <v>0</v>
      </c>
      <c r="D59" s="14">
        <f t="shared" si="8"/>
        <v>0</v>
      </c>
      <c r="E59" s="14">
        <f t="shared" si="9"/>
        <v>0</v>
      </c>
      <c r="AB59" s="14">
        <v>1</v>
      </c>
      <c r="AC59" s="14">
        <v>1</v>
      </c>
    </row>
    <row r="60" spans="1:31" ht="14.25" customHeight="1" x14ac:dyDescent="0.15">
      <c r="A60" s="16" t="s">
        <v>2795</v>
      </c>
      <c r="B60" s="16">
        <f t="shared" si="5"/>
        <v>0</v>
      </c>
      <c r="D60" s="14">
        <f t="shared" si="8"/>
        <v>0</v>
      </c>
      <c r="E60" s="14">
        <f t="shared" si="9"/>
        <v>0</v>
      </c>
      <c r="AD60" s="14">
        <v>1</v>
      </c>
      <c r="AE60" s="14">
        <v>1</v>
      </c>
    </row>
    <row r="61" spans="1:31" ht="14.25" customHeight="1" x14ac:dyDescent="0.15">
      <c r="A61" s="16" t="s">
        <v>551</v>
      </c>
      <c r="B61" s="16">
        <f t="shared" si="5"/>
        <v>0</v>
      </c>
      <c r="D61" s="14">
        <f t="shared" si="8"/>
        <v>0</v>
      </c>
      <c r="E61" s="14">
        <f t="shared" si="9"/>
        <v>0</v>
      </c>
      <c r="AB61" s="14">
        <v>1</v>
      </c>
      <c r="AD61" s="14">
        <v>1</v>
      </c>
    </row>
    <row r="62" spans="1:31" ht="14.25" customHeight="1" x14ac:dyDescent="0.15">
      <c r="A62" s="16" t="s">
        <v>2796</v>
      </c>
      <c r="B62" s="16">
        <f t="shared" si="5"/>
        <v>0</v>
      </c>
      <c r="D62" s="14">
        <f t="shared" si="8"/>
        <v>0</v>
      </c>
      <c r="E62" s="14">
        <f t="shared" si="9"/>
        <v>0</v>
      </c>
      <c r="AC62" s="14">
        <v>1</v>
      </c>
      <c r="AE62" s="14">
        <v>1</v>
      </c>
    </row>
    <row r="63" spans="1:31" ht="14.25" customHeight="1" x14ac:dyDescent="0.15">
      <c r="A63" s="16" t="s">
        <v>552</v>
      </c>
      <c r="B63" s="16">
        <f t="shared" si="5"/>
        <v>0</v>
      </c>
      <c r="D63" s="14">
        <f t="shared" si="8"/>
        <v>0</v>
      </c>
      <c r="E63" s="14">
        <f t="shared" si="9"/>
        <v>0</v>
      </c>
      <c r="AB63" s="14">
        <v>1</v>
      </c>
      <c r="AC63" s="14">
        <v>1</v>
      </c>
      <c r="AD63" s="14">
        <v>1</v>
      </c>
      <c r="AE63" s="14">
        <v>1</v>
      </c>
    </row>
    <row r="64" spans="1:31" ht="14.25" customHeight="1" x14ac:dyDescent="0.15">
      <c r="A64" s="16" t="s">
        <v>30</v>
      </c>
      <c r="B64" s="16">
        <f t="shared" si="5"/>
        <v>0</v>
      </c>
      <c r="D64" s="14">
        <f t="shared" si="8"/>
        <v>0</v>
      </c>
      <c r="E64" s="14">
        <f t="shared" si="9"/>
        <v>0</v>
      </c>
      <c r="AB64" s="14">
        <v>1</v>
      </c>
      <c r="AC64" s="14">
        <v>1</v>
      </c>
      <c r="AD64" s="14">
        <v>1</v>
      </c>
      <c r="AE64" s="14">
        <v>1</v>
      </c>
    </row>
    <row r="65" spans="1:31" ht="14.25" customHeight="1" x14ac:dyDescent="0.15">
      <c r="A65" s="16" t="s">
        <v>50</v>
      </c>
      <c r="B65" s="16">
        <f t="shared" si="5"/>
        <v>0</v>
      </c>
      <c r="D65" s="14">
        <f t="shared" si="8"/>
        <v>0</v>
      </c>
      <c r="E65" s="14">
        <f t="shared" si="9"/>
        <v>0</v>
      </c>
      <c r="AB65" s="14">
        <v>1</v>
      </c>
      <c r="AD65" s="14">
        <v>1</v>
      </c>
    </row>
    <row r="66" spans="1:31" ht="14.25" customHeight="1" x14ac:dyDescent="0.15">
      <c r="A66" s="16" t="s">
        <v>2797</v>
      </c>
      <c r="B66" s="16">
        <f t="shared" si="5"/>
        <v>0</v>
      </c>
      <c r="D66" s="14">
        <f t="shared" si="8"/>
        <v>0</v>
      </c>
      <c r="E66" s="14">
        <f t="shared" si="9"/>
        <v>0</v>
      </c>
      <c r="AC66" s="14">
        <v>1</v>
      </c>
      <c r="AE66" s="14">
        <v>1</v>
      </c>
    </row>
    <row r="67" spans="1:31" ht="14.25" customHeight="1" x14ac:dyDescent="0.15">
      <c r="A67" s="16" t="s">
        <v>2798</v>
      </c>
      <c r="B67" s="16">
        <f t="shared" si="5"/>
        <v>0</v>
      </c>
      <c r="D67" s="14">
        <f t="shared" si="8"/>
        <v>0</v>
      </c>
      <c r="E67" s="14">
        <f t="shared" si="9"/>
        <v>0</v>
      </c>
      <c r="AB67" s="14">
        <v>1</v>
      </c>
      <c r="AC67" s="14">
        <v>1</v>
      </c>
      <c r="AD67" s="14">
        <v>1</v>
      </c>
      <c r="AE67" s="14">
        <v>1</v>
      </c>
    </row>
    <row r="68" spans="1:31" ht="14.25" customHeight="1" x14ac:dyDescent="0.15">
      <c r="E68" s="14">
        <f t="shared" si="9"/>
        <v>0</v>
      </c>
    </row>
    <row r="69" spans="1:31" ht="14.25" customHeight="1" x14ac:dyDescent="0.15">
      <c r="A69" s="16" t="s">
        <v>2724</v>
      </c>
      <c r="B69" s="16">
        <v>-2</v>
      </c>
      <c r="D69" s="14">
        <f t="shared" ref="D69" si="10">IF(F69&lt;&gt;"",IF(F69=1,IF(F69+E69=2,1,0),F69),E69)</f>
        <v>-2</v>
      </c>
      <c r="E69" s="14">
        <f t="shared" si="9"/>
        <v>0</v>
      </c>
      <c r="F69" s="206">
        <v>-2</v>
      </c>
    </row>
    <row r="70" spans="1:31" ht="14.25" customHeight="1" x14ac:dyDescent="0.15">
      <c r="A70" s="16" t="s">
        <v>379</v>
      </c>
      <c r="B70" s="16">
        <f t="shared" ref="B70" si="11">D70</f>
        <v>1</v>
      </c>
      <c r="D70" s="14">
        <f t="shared" ref="D70" si="12">IF(F70&lt;&gt;"",IF(F70=1,IF(F70+E70=2,1,0),F70),E70)</f>
        <v>1</v>
      </c>
      <c r="E70" s="14">
        <f t="shared" si="9"/>
        <v>1</v>
      </c>
      <c r="F70" s="205">
        <v>1</v>
      </c>
      <c r="G70" s="14">
        <v>1</v>
      </c>
      <c r="H70" s="14">
        <v>1</v>
      </c>
      <c r="J70" s="14">
        <v>1</v>
      </c>
      <c r="K70" s="14">
        <v>1</v>
      </c>
      <c r="L70" s="14">
        <v>1</v>
      </c>
      <c r="M70" s="14">
        <v>1</v>
      </c>
      <c r="N70" s="14">
        <v>1</v>
      </c>
      <c r="O70" s="14">
        <v>1</v>
      </c>
      <c r="P70" s="14">
        <v>1</v>
      </c>
      <c r="Q70" s="14">
        <v>1</v>
      </c>
      <c r="R70" s="14">
        <v>1</v>
      </c>
      <c r="S70" s="14">
        <v>1</v>
      </c>
      <c r="T70" s="14">
        <v>1</v>
      </c>
      <c r="U70" s="14">
        <v>1</v>
      </c>
      <c r="V70" s="14">
        <v>1</v>
      </c>
      <c r="W70" s="14">
        <v>1</v>
      </c>
      <c r="X70" s="14">
        <v>1</v>
      </c>
      <c r="Y70" s="14">
        <v>1</v>
      </c>
      <c r="Z70" s="14">
        <v>1</v>
      </c>
      <c r="AA70" s="14">
        <v>1</v>
      </c>
    </row>
    <row r="71" spans="1:31" ht="14.25" customHeight="1" x14ac:dyDescent="0.15">
      <c r="A71" s="67" t="s">
        <v>404</v>
      </c>
      <c r="B71" s="16">
        <v>0</v>
      </c>
    </row>
    <row r="73" spans="1:31" ht="14.25" customHeight="1" x14ac:dyDescent="0.15">
      <c r="A73" s="17" t="s">
        <v>398</v>
      </c>
    </row>
    <row r="74" spans="1:31" ht="14.25" customHeight="1" x14ac:dyDescent="0.15">
      <c r="A74" s="17" t="s">
        <v>405</v>
      </c>
    </row>
  </sheetData>
  <mergeCells count="1">
    <mergeCell ref="D1:E1"/>
  </mergeCells>
  <phoneticPr fontId="41"/>
  <pageMargins left="0.78700000000000003" right="0.78700000000000003" top="0.98399999999999999" bottom="0.98399999999999999" header="0.51200000000000001" footer="0.51200000000000001"/>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35"/>
  <sheetViews>
    <sheetView workbookViewId="0"/>
  </sheetViews>
  <sheetFormatPr defaultColWidth="8.875" defaultRowHeight="13.5" x14ac:dyDescent="0.15"/>
  <cols>
    <col min="1" max="1" width="8.875" style="271" customWidth="1"/>
    <col min="2" max="16384" width="8.875" style="271"/>
  </cols>
  <sheetData>
    <row r="1" spans="1:4" ht="18.75" x14ac:dyDescent="0.15">
      <c r="A1" s="269"/>
      <c r="B1" s="270"/>
      <c r="C1" s="270"/>
      <c r="D1" s="270"/>
    </row>
    <row r="2" spans="1:4" ht="18.75" x14ac:dyDescent="0.15">
      <c r="A2" s="269"/>
      <c r="B2" s="272" t="s">
        <v>2678</v>
      </c>
      <c r="C2" s="270"/>
      <c r="D2" s="270"/>
    </row>
    <row r="3" spans="1:4" ht="18.75" x14ac:dyDescent="0.15">
      <c r="A3" s="269"/>
      <c r="B3" s="272" t="s">
        <v>2679</v>
      </c>
      <c r="C3" s="270"/>
      <c r="D3" s="270"/>
    </row>
    <row r="4" spans="1:4" ht="18.75" x14ac:dyDescent="0.15">
      <c r="A4" s="269"/>
      <c r="B4" s="272" t="s">
        <v>2680</v>
      </c>
      <c r="C4" s="270"/>
      <c r="D4" s="270"/>
    </row>
    <row r="5" spans="1:4" ht="18.75" x14ac:dyDescent="0.15">
      <c r="A5" s="269"/>
      <c r="B5" s="272" t="s">
        <v>2681</v>
      </c>
      <c r="C5" s="270"/>
      <c r="D5" s="270"/>
    </row>
    <row r="6" spans="1:4" ht="18.75" x14ac:dyDescent="0.15">
      <c r="A6" s="269"/>
      <c r="B6" s="272" t="s">
        <v>2682</v>
      </c>
      <c r="C6" s="270"/>
      <c r="D6" s="270"/>
    </row>
    <row r="7" spans="1:4" ht="18.75" x14ac:dyDescent="0.15">
      <c r="A7" s="269"/>
      <c r="B7" s="272" t="s">
        <v>2683</v>
      </c>
      <c r="C7" s="270"/>
      <c r="D7" s="270"/>
    </row>
    <row r="8" spans="1:4" ht="18.75" x14ac:dyDescent="0.15">
      <c r="A8" s="269"/>
      <c r="B8" s="270"/>
      <c r="C8" s="270"/>
      <c r="D8" s="270"/>
    </row>
    <row r="9" spans="1:4" ht="18.75" x14ac:dyDescent="0.15">
      <c r="A9" s="269"/>
      <c r="B9" s="272" t="s">
        <v>42</v>
      </c>
      <c r="C9" s="270"/>
      <c r="D9" s="270"/>
    </row>
    <row r="10" spans="1:4" ht="18.75" x14ac:dyDescent="0.15">
      <c r="A10" s="269"/>
      <c r="B10" s="272" t="s">
        <v>2684</v>
      </c>
      <c r="C10" s="270"/>
      <c r="D10" s="270"/>
    </row>
    <row r="11" spans="1:4" ht="18.75" x14ac:dyDescent="0.15">
      <c r="A11" s="269"/>
      <c r="B11" s="270"/>
      <c r="C11" s="270"/>
      <c r="D11" s="270"/>
    </row>
    <row r="12" spans="1:4" ht="18.75" x14ac:dyDescent="0.15">
      <c r="A12" s="269"/>
      <c r="B12" s="272"/>
      <c r="C12" s="270"/>
      <c r="D12" s="270"/>
    </row>
    <row r="13" spans="1:4" ht="18.75" x14ac:dyDescent="0.15">
      <c r="A13" s="269"/>
      <c r="B13" s="272"/>
      <c r="C13" s="270"/>
      <c r="D13" s="270"/>
    </row>
    <row r="14" spans="1:4" ht="18.75" x14ac:dyDescent="0.15">
      <c r="A14" s="269"/>
      <c r="B14" s="272" t="s">
        <v>2685</v>
      </c>
      <c r="C14" s="270"/>
      <c r="D14" s="270"/>
    </row>
    <row r="15" spans="1:4" ht="18.75" x14ac:dyDescent="0.15">
      <c r="A15" s="269"/>
      <c r="B15" s="272" t="s">
        <v>2686</v>
      </c>
      <c r="C15" s="270"/>
      <c r="D15" s="270"/>
    </row>
    <row r="16" spans="1:4" ht="18.75" x14ac:dyDescent="0.15">
      <c r="A16" s="269"/>
      <c r="B16" s="272" t="s">
        <v>2687</v>
      </c>
      <c r="C16" s="270"/>
      <c r="D16" s="270"/>
    </row>
    <row r="17" spans="1:4" ht="18.75" x14ac:dyDescent="0.15">
      <c r="A17" s="269"/>
      <c r="B17" s="272" t="s">
        <v>2688</v>
      </c>
      <c r="C17" s="270"/>
      <c r="D17" s="270"/>
    </row>
    <row r="18" spans="1:4" ht="18.75" x14ac:dyDescent="0.15">
      <c r="A18" s="269"/>
      <c r="B18" s="272" t="s">
        <v>2689</v>
      </c>
      <c r="C18" s="270"/>
      <c r="D18" s="270"/>
    </row>
    <row r="19" spans="1:4" ht="18.75" x14ac:dyDescent="0.15">
      <c r="A19" s="269"/>
      <c r="B19" s="272" t="s">
        <v>2690</v>
      </c>
      <c r="C19" s="270"/>
      <c r="D19" s="270"/>
    </row>
    <row r="20" spans="1:4" ht="18.75" x14ac:dyDescent="0.15">
      <c r="A20" s="269"/>
      <c r="B20" s="272" t="s">
        <v>2691</v>
      </c>
      <c r="C20" s="270"/>
      <c r="D20" s="270"/>
    </row>
    <row r="21" spans="1:4" ht="18.75" x14ac:dyDescent="0.15">
      <c r="A21" s="269"/>
      <c r="B21" s="272" t="s">
        <v>454</v>
      </c>
      <c r="C21" s="270"/>
      <c r="D21" s="270"/>
    </row>
    <row r="22" spans="1:4" ht="18.75" x14ac:dyDescent="0.15">
      <c r="A22" s="269"/>
      <c r="B22" s="272" t="s">
        <v>2674</v>
      </c>
      <c r="C22" s="270"/>
      <c r="D22" s="270"/>
    </row>
    <row r="23" spans="1:4" ht="18.75" x14ac:dyDescent="0.15">
      <c r="A23" s="269"/>
      <c r="B23" s="272" t="s">
        <v>452</v>
      </c>
      <c r="C23" s="270"/>
      <c r="D23" s="270"/>
    </row>
    <row r="24" spans="1:4" ht="18.75" x14ac:dyDescent="0.15">
      <c r="A24" s="269"/>
      <c r="B24" s="272" t="s">
        <v>450</v>
      </c>
      <c r="C24" s="270"/>
      <c r="D24" s="270"/>
    </row>
    <row r="25" spans="1:4" ht="18.75" x14ac:dyDescent="0.15">
      <c r="A25" s="269"/>
      <c r="B25" s="272" t="s">
        <v>447</v>
      </c>
      <c r="C25" s="270"/>
      <c r="D25" s="270"/>
    </row>
    <row r="26" spans="1:4" ht="18.75" x14ac:dyDescent="0.15">
      <c r="A26" s="269"/>
      <c r="B26" s="270" t="s">
        <v>445</v>
      </c>
      <c r="C26" s="270"/>
      <c r="D26" s="270"/>
    </row>
    <row r="27" spans="1:4" ht="18.75" x14ac:dyDescent="0.15">
      <c r="A27" s="269"/>
      <c r="B27" s="270" t="s">
        <v>442</v>
      </c>
      <c r="C27" s="270"/>
      <c r="D27" s="270"/>
    </row>
    <row r="28" spans="1:4" ht="18.75" x14ac:dyDescent="0.15">
      <c r="A28" s="269"/>
      <c r="B28" s="270" t="s">
        <v>2692</v>
      </c>
      <c r="C28" s="270"/>
      <c r="D28" s="270"/>
    </row>
    <row r="29" spans="1:4" ht="18.75" x14ac:dyDescent="0.15">
      <c r="A29" s="269"/>
      <c r="B29" s="270"/>
      <c r="C29" s="270"/>
      <c r="D29" s="270"/>
    </row>
    <row r="30" spans="1:4" ht="18.75" x14ac:dyDescent="0.15">
      <c r="A30" s="269"/>
      <c r="B30" s="270"/>
      <c r="C30" s="270"/>
      <c r="D30" s="270"/>
    </row>
    <row r="31" spans="1:4" ht="18.75" x14ac:dyDescent="0.15">
      <c r="A31" s="269"/>
      <c r="B31" s="270"/>
      <c r="C31" s="270"/>
      <c r="D31" s="270"/>
    </row>
    <row r="32" spans="1:4" ht="18.75" x14ac:dyDescent="0.15">
      <c r="A32" s="269"/>
      <c r="B32" s="270"/>
      <c r="C32" s="270"/>
      <c r="D32" s="270"/>
    </row>
    <row r="33" spans="1:4" ht="18.75" x14ac:dyDescent="0.15">
      <c r="A33" s="269"/>
      <c r="B33" s="270"/>
      <c r="C33" s="270"/>
      <c r="D33" s="270"/>
    </row>
    <row r="34" spans="1:4" ht="18.75" x14ac:dyDescent="0.15">
      <c r="B34" s="270"/>
      <c r="C34" s="270"/>
      <c r="D34" s="270"/>
    </row>
    <row r="35" spans="1:4" ht="18.75" x14ac:dyDescent="0.15">
      <c r="B35" s="270"/>
      <c r="C35" s="270"/>
      <c r="D35" s="270"/>
    </row>
  </sheetData>
  <phoneticPr fontId="41"/>
  <dataValidations count="2">
    <dataValidation allowBlank="1" showInputMessage="1" showErrorMessage="1" sqref="B9" xr:uid="{00000000-0002-0000-0900-000000000000}"/>
    <dataValidation type="list" allowBlank="1" showInputMessage="1" showErrorMessage="1" sqref="C37 D10" xr:uid="{00000000-0002-0000-0900-000001000000}">
      <formula1>$B$9:$B$10</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FFCC"/>
  </sheetPr>
  <dimension ref="B1:G36"/>
  <sheetViews>
    <sheetView topLeftCell="A17" workbookViewId="0">
      <selection activeCell="E37" sqref="E37"/>
    </sheetView>
  </sheetViews>
  <sheetFormatPr defaultColWidth="9" defaultRowHeight="18.75" customHeight="1" x14ac:dyDescent="0.15"/>
  <cols>
    <col min="1" max="3" width="2.75" style="18" customWidth="1"/>
    <col min="4" max="4" width="4.125" style="18" customWidth="1"/>
    <col min="5" max="5" width="23.5" style="208" customWidth="1"/>
    <col min="6" max="6" width="9" style="18" customWidth="1"/>
    <col min="7" max="7" width="50.625" style="18" customWidth="1"/>
    <col min="8" max="8" width="9" style="18" customWidth="1"/>
    <col min="9" max="16384" width="9" style="18"/>
  </cols>
  <sheetData>
    <row r="1" spans="2:7" ht="18.75" customHeight="1" x14ac:dyDescent="0.15">
      <c r="E1" s="208" t="s">
        <v>2416</v>
      </c>
      <c r="G1" s="121" t="s">
        <v>2417</v>
      </c>
    </row>
    <row r="2" spans="2:7" ht="18.75" customHeight="1" x14ac:dyDescent="0.15">
      <c r="E2" s="208">
        <v>43699</v>
      </c>
      <c r="F2" s="18" t="s">
        <v>2418</v>
      </c>
      <c r="G2" s="18" t="s">
        <v>2419</v>
      </c>
    </row>
    <row r="3" spans="2:7" ht="18.75" customHeight="1" x14ac:dyDescent="0.15">
      <c r="G3" s="18" t="s">
        <v>2461</v>
      </c>
    </row>
    <row r="4" spans="2:7" ht="18.75" customHeight="1" x14ac:dyDescent="0.15">
      <c r="E4" s="208">
        <v>43700</v>
      </c>
      <c r="F4" s="18" t="s">
        <v>2418</v>
      </c>
      <c r="G4" s="18" t="s">
        <v>2480</v>
      </c>
    </row>
    <row r="5" spans="2:7" ht="18.75" customHeight="1" x14ac:dyDescent="0.15">
      <c r="E5" s="208">
        <v>43703</v>
      </c>
      <c r="F5" s="18" t="s">
        <v>2418</v>
      </c>
      <c r="G5" s="18" t="s">
        <v>2481</v>
      </c>
    </row>
    <row r="6" spans="2:7" ht="18.75" customHeight="1" x14ac:dyDescent="0.15">
      <c r="E6" s="208">
        <v>43710</v>
      </c>
      <c r="F6" s="18" t="s">
        <v>2418</v>
      </c>
      <c r="G6" s="18" t="s">
        <v>2499</v>
      </c>
    </row>
    <row r="7" spans="2:7" ht="18.75" customHeight="1" x14ac:dyDescent="0.15">
      <c r="E7" s="208">
        <v>43711</v>
      </c>
      <c r="F7" s="18" t="s">
        <v>2418</v>
      </c>
      <c r="G7" s="18" t="s">
        <v>2502</v>
      </c>
    </row>
    <row r="8" spans="2:7" ht="18.75" customHeight="1" x14ac:dyDescent="0.15">
      <c r="E8" s="208">
        <v>43712</v>
      </c>
      <c r="F8" s="18" t="s">
        <v>2418</v>
      </c>
      <c r="G8" s="18" t="s">
        <v>2551</v>
      </c>
    </row>
    <row r="9" spans="2:7" ht="18.75" customHeight="1" x14ac:dyDescent="0.15">
      <c r="E9" s="208">
        <v>43734</v>
      </c>
      <c r="F9" s="18" t="s">
        <v>2553</v>
      </c>
      <c r="G9" s="18" t="s">
        <v>2552</v>
      </c>
    </row>
    <row r="10" spans="2:7" ht="18.75" customHeight="1" x14ac:dyDescent="0.15">
      <c r="E10" s="208">
        <v>43822</v>
      </c>
      <c r="F10" s="18" t="s">
        <v>2418</v>
      </c>
      <c r="G10" s="18" t="s">
        <v>2554</v>
      </c>
    </row>
    <row r="11" spans="2:7" ht="18.75" customHeight="1" x14ac:dyDescent="0.15">
      <c r="B11" s="296" t="s">
        <v>2705</v>
      </c>
      <c r="C11" s="296"/>
      <c r="D11" s="296"/>
      <c r="E11" s="296"/>
      <c r="F11" s="296"/>
      <c r="G11" s="296"/>
    </row>
    <row r="12" spans="2:7" ht="18.75" customHeight="1" x14ac:dyDescent="0.15">
      <c r="E12" s="208">
        <v>43887</v>
      </c>
      <c r="F12" s="18" t="s">
        <v>2418</v>
      </c>
      <c r="G12" s="18" t="s">
        <v>2701</v>
      </c>
    </row>
    <row r="13" spans="2:7" ht="18.75" customHeight="1" x14ac:dyDescent="0.15">
      <c r="E13" s="208">
        <v>43934</v>
      </c>
      <c r="F13" s="18" t="s">
        <v>2418</v>
      </c>
      <c r="G13" s="18" t="s">
        <v>2702</v>
      </c>
    </row>
    <row r="14" spans="2:7" ht="18.75" customHeight="1" x14ac:dyDescent="0.15">
      <c r="E14" s="208">
        <v>43936</v>
      </c>
      <c r="F14" s="18" t="s">
        <v>2418</v>
      </c>
      <c r="G14" s="18" t="s">
        <v>2703</v>
      </c>
    </row>
    <row r="15" spans="2:7" ht="18.75" customHeight="1" x14ac:dyDescent="0.15">
      <c r="E15" s="208">
        <v>43942</v>
      </c>
      <c r="F15" s="18" t="s">
        <v>2553</v>
      </c>
      <c r="G15" s="18" t="s">
        <v>2704</v>
      </c>
    </row>
    <row r="16" spans="2:7" ht="18.75" customHeight="1" x14ac:dyDescent="0.15">
      <c r="E16" s="208">
        <v>43949</v>
      </c>
      <c r="F16" s="18" t="s">
        <v>2418</v>
      </c>
      <c r="G16" s="18" t="s">
        <v>2706</v>
      </c>
    </row>
    <row r="17" spans="5:7" ht="18.75" customHeight="1" x14ac:dyDescent="0.15">
      <c r="E17" s="208">
        <v>43951</v>
      </c>
      <c r="F17" s="18" t="s">
        <v>2418</v>
      </c>
      <c r="G17" s="18" t="s">
        <v>2759</v>
      </c>
    </row>
    <row r="18" spans="5:7" ht="18.75" customHeight="1" x14ac:dyDescent="0.15">
      <c r="E18" s="208">
        <v>43963</v>
      </c>
      <c r="F18" s="18" t="s">
        <v>2418</v>
      </c>
      <c r="G18" s="18" t="s">
        <v>2761</v>
      </c>
    </row>
    <row r="19" spans="5:7" ht="18.75" customHeight="1" x14ac:dyDescent="0.15">
      <c r="E19" s="208">
        <v>43965</v>
      </c>
      <c r="F19" s="18" t="s">
        <v>2418</v>
      </c>
      <c r="G19" s="18" t="s">
        <v>2762</v>
      </c>
    </row>
    <row r="20" spans="5:7" ht="18.75" customHeight="1" x14ac:dyDescent="0.15">
      <c r="E20" s="208">
        <v>43969</v>
      </c>
      <c r="F20" s="18" t="s">
        <v>2418</v>
      </c>
      <c r="G20" s="18" t="s">
        <v>2763</v>
      </c>
    </row>
    <row r="21" spans="5:7" ht="18.75" customHeight="1" x14ac:dyDescent="0.15">
      <c r="E21" s="208">
        <v>43971</v>
      </c>
      <c r="F21" s="18" t="s">
        <v>2766</v>
      </c>
      <c r="G21" s="18" t="s">
        <v>2767</v>
      </c>
    </row>
    <row r="22" spans="5:7" ht="18.75" customHeight="1" x14ac:dyDescent="0.15">
      <c r="F22" s="18" t="s">
        <v>2768</v>
      </c>
      <c r="G22" s="18" t="s">
        <v>2769</v>
      </c>
    </row>
    <row r="23" spans="5:7" ht="18.75" customHeight="1" x14ac:dyDescent="0.15">
      <c r="E23" s="208">
        <v>43972</v>
      </c>
      <c r="F23" s="18" t="s">
        <v>2766</v>
      </c>
      <c r="G23" s="18" t="s">
        <v>2770</v>
      </c>
    </row>
    <row r="24" spans="5:7" ht="18.75" customHeight="1" x14ac:dyDescent="0.15">
      <c r="E24" s="208">
        <v>44011</v>
      </c>
      <c r="F24" s="18" t="s">
        <v>2768</v>
      </c>
      <c r="G24" s="18" t="s">
        <v>2793</v>
      </c>
    </row>
    <row r="25" spans="5:7" ht="18.75" customHeight="1" x14ac:dyDescent="0.15">
      <c r="E25" s="208">
        <v>44012</v>
      </c>
      <c r="F25" s="18" t="s">
        <v>2768</v>
      </c>
      <c r="G25" s="18" t="s">
        <v>2801</v>
      </c>
    </row>
    <row r="26" spans="5:7" ht="18.75" customHeight="1" x14ac:dyDescent="0.15">
      <c r="E26" s="208">
        <v>44015</v>
      </c>
      <c r="F26" s="18" t="s">
        <v>2768</v>
      </c>
      <c r="G26" s="18" t="s">
        <v>2802</v>
      </c>
    </row>
    <row r="27" spans="5:7" ht="18.75" customHeight="1" x14ac:dyDescent="0.15">
      <c r="E27" s="208">
        <v>44018</v>
      </c>
      <c r="F27" s="18" t="s">
        <v>2768</v>
      </c>
      <c r="G27" s="18" t="s">
        <v>2823</v>
      </c>
    </row>
    <row r="28" spans="5:7" ht="18.75" customHeight="1" x14ac:dyDescent="0.15">
      <c r="E28" s="208">
        <v>44025</v>
      </c>
      <c r="F28" s="18" t="s">
        <v>2768</v>
      </c>
      <c r="G28" s="18" t="s">
        <v>2824</v>
      </c>
    </row>
    <row r="29" spans="5:7" ht="18.75" customHeight="1" x14ac:dyDescent="0.15">
      <c r="E29" s="208">
        <v>44026</v>
      </c>
      <c r="F29" s="18" t="s">
        <v>2825</v>
      </c>
      <c r="G29" s="18" t="s">
        <v>2826</v>
      </c>
    </row>
    <row r="30" spans="5:7" ht="18.75" customHeight="1" x14ac:dyDescent="0.15">
      <c r="G30" s="18" t="s">
        <v>2827</v>
      </c>
    </row>
    <row r="31" spans="5:7" ht="18.75" customHeight="1" x14ac:dyDescent="0.15">
      <c r="G31" s="18" t="s">
        <v>2828</v>
      </c>
    </row>
    <row r="32" spans="5:7" ht="18.75" customHeight="1" x14ac:dyDescent="0.15">
      <c r="E32" s="208">
        <v>44064</v>
      </c>
      <c r="F32" s="18" t="s">
        <v>2768</v>
      </c>
      <c r="G32" s="18" t="s">
        <v>2829</v>
      </c>
    </row>
    <row r="33" spans="5:7" ht="18.75" customHeight="1" x14ac:dyDescent="0.15">
      <c r="E33" s="208">
        <v>44103</v>
      </c>
      <c r="F33" s="18" t="s">
        <v>2768</v>
      </c>
      <c r="G33" s="18" t="s">
        <v>2832</v>
      </c>
    </row>
    <row r="34" spans="5:7" ht="18.75" customHeight="1" x14ac:dyDescent="0.15">
      <c r="E34" s="208">
        <v>44104</v>
      </c>
      <c r="F34" s="18" t="s">
        <v>2825</v>
      </c>
      <c r="G34" s="18" t="s">
        <v>2835</v>
      </c>
    </row>
    <row r="35" spans="5:7" ht="18.75" customHeight="1" x14ac:dyDescent="0.15">
      <c r="E35" s="208">
        <v>44105</v>
      </c>
      <c r="F35" s="18" t="s">
        <v>2768</v>
      </c>
      <c r="G35" s="18" t="s">
        <v>2856</v>
      </c>
    </row>
    <row r="36" spans="5:7" ht="18.75" customHeight="1" x14ac:dyDescent="0.15">
      <c r="E36" s="208">
        <v>44134</v>
      </c>
      <c r="F36" s="18" t="s">
        <v>2766</v>
      </c>
      <c r="G36" s="18" t="s">
        <v>2857</v>
      </c>
    </row>
  </sheetData>
  <mergeCells count="1">
    <mergeCell ref="B11:G11"/>
  </mergeCells>
  <phoneticPr fontId="41"/>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CFFCC"/>
  </sheetPr>
  <dimension ref="A6:V1328"/>
  <sheetViews>
    <sheetView zoomScaleNormal="100" workbookViewId="0">
      <pane xSplit="2" ySplit="6" topLeftCell="C85" activePane="bottomRight" state="frozen"/>
      <selection pane="topRight"/>
      <selection pane="bottomLeft"/>
      <selection pane="bottomRight" activeCell="E102" sqref="E102"/>
    </sheetView>
  </sheetViews>
  <sheetFormatPr defaultColWidth="9" defaultRowHeight="15" customHeight="1" x14ac:dyDescent="0.15"/>
  <cols>
    <col min="1" max="1" width="15.625" style="18" customWidth="1"/>
    <col min="2" max="2" width="31.375" style="18" customWidth="1"/>
    <col min="3" max="3" width="37.875" style="18" customWidth="1"/>
    <col min="4" max="4" width="15.625" style="18" customWidth="1"/>
    <col min="5" max="5" width="42.25" style="18" customWidth="1"/>
    <col min="6" max="6" width="27.625" style="18" customWidth="1"/>
    <col min="7" max="7" width="35.625" style="18" customWidth="1"/>
    <col min="8" max="8" width="9" style="18" customWidth="1"/>
    <col min="9" max="16384" width="9" style="18"/>
  </cols>
  <sheetData>
    <row r="6" spans="1:8" ht="15" customHeight="1" x14ac:dyDescent="0.15">
      <c r="A6" s="18" t="s">
        <v>58</v>
      </c>
      <c r="C6" s="18" t="s">
        <v>59</v>
      </c>
      <c r="D6" s="18" t="s">
        <v>60</v>
      </c>
      <c r="E6" s="18" t="s">
        <v>61</v>
      </c>
      <c r="F6" s="18" t="s">
        <v>62</v>
      </c>
      <c r="G6" s="121" t="s">
        <v>399</v>
      </c>
    </row>
    <row r="7" spans="1:8" ht="15" customHeight="1" x14ac:dyDescent="0.15">
      <c r="A7" s="1" t="s">
        <v>27</v>
      </c>
      <c r="B7" s="30"/>
      <c r="C7" s="18" t="s">
        <v>28</v>
      </c>
      <c r="D7" s="155"/>
      <c r="E7" s="18" t="s">
        <v>29</v>
      </c>
      <c r="F7" s="155" t="str">
        <f>IF(_output_title="","",_output_title)</f>
        <v/>
      </c>
    </row>
    <row r="8" spans="1:8" ht="15" customHeight="1" x14ac:dyDescent="0.15">
      <c r="A8" s="12"/>
      <c r="B8" s="120"/>
      <c r="D8" s="155"/>
      <c r="F8" s="155"/>
    </row>
    <row r="9" spans="1:8" ht="15" customHeight="1" x14ac:dyDescent="0.15">
      <c r="A9" s="1" t="s">
        <v>24</v>
      </c>
      <c r="B9" s="30"/>
      <c r="C9" s="18" t="s">
        <v>25</v>
      </c>
      <c r="D9" s="155" t="s">
        <v>2708</v>
      </c>
      <c r="E9" s="18" t="s">
        <v>26</v>
      </c>
      <c r="F9" s="155" t="str">
        <f>IF(_output_sheetname="","",_output_sheetname)</f>
        <v>委任状(確認等)</v>
      </c>
    </row>
    <row r="10" spans="1:8" ht="15" customHeight="1" x14ac:dyDescent="0.15">
      <c r="A10" s="12"/>
      <c r="B10" s="120"/>
      <c r="D10" s="155"/>
      <c r="F10" s="155"/>
    </row>
    <row r="11" spans="1:8" ht="15" customHeight="1" x14ac:dyDescent="0.15">
      <c r="A11" s="48" t="s">
        <v>634</v>
      </c>
      <c r="B11" s="49"/>
      <c r="C11" s="18" t="s">
        <v>63</v>
      </c>
      <c r="D11" s="155" t="s">
        <v>1211</v>
      </c>
      <c r="E11" s="18" t="s">
        <v>110</v>
      </c>
      <c r="F11" s="155" t="str">
        <f>IF(wsjob_TARGET_KIND__label="","",wsjob_TARGET_KIND__label)</f>
        <v>建築物</v>
      </c>
      <c r="G11" s="19"/>
      <c r="H11" s="19"/>
    </row>
    <row r="12" spans="1:8" ht="62.1" customHeight="1" x14ac:dyDescent="0.15">
      <c r="A12" s="85"/>
      <c r="B12" s="79" t="s">
        <v>1208</v>
      </c>
      <c r="C12" s="18" t="s">
        <v>1228</v>
      </c>
      <c r="D12" s="155">
        <v>100</v>
      </c>
      <c r="E12" s="18" t="s">
        <v>1227</v>
      </c>
      <c r="F12" s="155" t="str">
        <f ca="1">IF(wsjob_JOB_SET_KIND="","",IF(ISERROR(MATCH(wsjob_JOB_SET_KIND,cls_JOB_SET_KIND_erea,0)),"未設定コード",OFFSET(cls_JOB_SET_KIND_base_point,MATCH(wsjob_JOB_SET_KIND,cls_JOB_SET_KIND_erea,0),0)))</f>
        <v>基準法</v>
      </c>
      <c r="G12" s="59" t="s">
        <v>1209</v>
      </c>
      <c r="H12" s="19"/>
    </row>
    <row r="13" spans="1:8" ht="62.1" customHeight="1" x14ac:dyDescent="0.15">
      <c r="A13" s="85"/>
      <c r="B13" s="79" t="s">
        <v>1207</v>
      </c>
      <c r="C13" s="18" t="s">
        <v>392</v>
      </c>
      <c r="D13" s="155">
        <v>1</v>
      </c>
      <c r="E13" s="18" t="s">
        <v>393</v>
      </c>
      <c r="F13" s="155" t="str">
        <f ca="1">IF(wsjob_TARGET_KIND="","",IF(ISERROR(MATCH(wsjob_TARGET_KIND,cls_TARGET_KIND_erea,0)),"未設定コード",OFFSET(cls_TARGET_KIND_base_point,MATCH(wsjob_TARGET_KIND,cls_TARGET_KIND_erea,0),0)))</f>
        <v>建築物</v>
      </c>
      <c r="G13" s="59" t="s">
        <v>1206</v>
      </c>
      <c r="H13" s="19"/>
    </row>
    <row r="14" spans="1:8" ht="16.5" customHeight="1" x14ac:dyDescent="0.15">
      <c r="A14" s="85"/>
      <c r="B14" s="79" t="s">
        <v>1211</v>
      </c>
      <c r="D14" s="19"/>
      <c r="E14" s="18" t="s">
        <v>2560</v>
      </c>
      <c r="F14" s="155" t="str">
        <f>IF(wsjob_TARGET_KIND=1,"■","□")</f>
        <v>■</v>
      </c>
      <c r="G14" s="59"/>
      <c r="H14" s="19"/>
    </row>
    <row r="15" spans="1:8" ht="16.5" customHeight="1" x14ac:dyDescent="0.15">
      <c r="A15" s="85"/>
      <c r="B15" s="79" t="s">
        <v>1212</v>
      </c>
      <c r="D15" s="19"/>
      <c r="E15" s="18" t="s">
        <v>2561</v>
      </c>
      <c r="F15" s="155" t="str">
        <f>IF(wsjob_TARGET_KIND=2,"■","□")</f>
        <v>□</v>
      </c>
      <c r="G15" s="59"/>
      <c r="H15" s="19"/>
    </row>
    <row r="16" spans="1:8" ht="16.5" customHeight="1" x14ac:dyDescent="0.15">
      <c r="A16" s="85"/>
      <c r="B16" s="79" t="s">
        <v>2771</v>
      </c>
      <c r="D16" s="19"/>
      <c r="E16" s="18" t="s">
        <v>2774</v>
      </c>
      <c r="F16" s="155" t="str">
        <f>IF(wsjob_TARGET_KIND=3,"■","□")</f>
        <v>□</v>
      </c>
      <c r="G16" s="59"/>
      <c r="H16" s="19"/>
    </row>
    <row r="17" spans="1:8" ht="16.5" customHeight="1" x14ac:dyDescent="0.15">
      <c r="A17" s="85"/>
      <c r="B17" s="79" t="s">
        <v>2772</v>
      </c>
      <c r="D17" s="19"/>
      <c r="E17" s="18" t="s">
        <v>2776</v>
      </c>
      <c r="F17" s="155" t="str">
        <f>IF(wsjob_TARGET_KIND=4,"■","□")</f>
        <v>□</v>
      </c>
      <c r="G17" s="59"/>
      <c r="H17" s="19"/>
    </row>
    <row r="18" spans="1:8" ht="16.5" customHeight="1" x14ac:dyDescent="0.15">
      <c r="A18" s="85"/>
      <c r="B18" s="79" t="s">
        <v>2773</v>
      </c>
      <c r="D18" s="19"/>
      <c r="E18" s="18" t="s">
        <v>2775</v>
      </c>
      <c r="F18" s="155" t="str">
        <f>IF(wsjob_TARGET_KIND=5,"■","□")</f>
        <v>□</v>
      </c>
      <c r="G18" s="59"/>
      <c r="H18" s="19"/>
    </row>
    <row r="19" spans="1:8" ht="62.1" customHeight="1" x14ac:dyDescent="0.15">
      <c r="A19" s="85"/>
      <c r="B19" s="79" t="s">
        <v>1205</v>
      </c>
      <c r="C19" s="18" t="s">
        <v>390</v>
      </c>
      <c r="D19" s="155">
        <v>101</v>
      </c>
      <c r="E19" s="18" t="s">
        <v>391</v>
      </c>
      <c r="F19" s="155" t="str">
        <f ca="1">IF(wsjob_JOB_KIND="","",IF(ISERROR(MATCH(wsjob_JOB_KIND,cls_JOB_KIND_erea,0)),"未設定コード",OFFSET(cls_JOB_KIND_base_point,MATCH(wsjob_JOB_KIND,cls_JOB_KIND_erea,0),0)))</f>
        <v>確認申請</v>
      </c>
      <c r="G19" s="59" t="s">
        <v>1226</v>
      </c>
      <c r="H19" s="19"/>
    </row>
    <row r="20" spans="1:8" ht="16.5" customHeight="1" x14ac:dyDescent="0.15">
      <c r="A20" s="222"/>
      <c r="B20" s="151"/>
      <c r="D20" s="19"/>
      <c r="E20" s="18" t="s">
        <v>2645</v>
      </c>
      <c r="F20" s="155" t="str">
        <f>IF(OR(wsjob_JOB_KIND=101,wsjob_JOB_KIND=102),"■","□")</f>
        <v>■</v>
      </c>
      <c r="G20" s="59"/>
      <c r="H20" s="19"/>
    </row>
    <row r="21" spans="1:8" ht="16.5" customHeight="1" x14ac:dyDescent="0.15">
      <c r="A21" s="222"/>
      <c r="B21" s="151"/>
      <c r="D21" s="19"/>
      <c r="E21" s="18" t="s">
        <v>2646</v>
      </c>
      <c r="F21" s="155" t="str">
        <f>IF(wsjob_JOB_KIND=103,"■","□")</f>
        <v>□</v>
      </c>
      <c r="G21" s="59"/>
      <c r="H21" s="19"/>
    </row>
    <row r="22" spans="1:8" ht="16.5" customHeight="1" x14ac:dyDescent="0.15">
      <c r="A22" s="222"/>
      <c r="B22" s="151"/>
      <c r="D22" s="19"/>
      <c r="E22" s="18" t="s">
        <v>2647</v>
      </c>
      <c r="F22" s="155" t="str">
        <f>IF(wsjob_JOB_KIND=104,"■","□")</f>
        <v>□</v>
      </c>
      <c r="G22" s="59"/>
      <c r="H22" s="19"/>
    </row>
    <row r="23" spans="1:8" ht="15" customHeight="1" x14ac:dyDescent="0.15">
      <c r="A23" s="86"/>
      <c r="B23" s="87"/>
      <c r="F23" s="19"/>
      <c r="G23" s="19"/>
      <c r="H23" s="19"/>
    </row>
    <row r="24" spans="1:8" ht="15" customHeight="1" x14ac:dyDescent="0.15">
      <c r="A24" s="136"/>
      <c r="B24" s="137"/>
      <c r="D24" s="19"/>
      <c r="F24" s="19"/>
      <c r="G24" s="19"/>
      <c r="H24" s="19"/>
    </row>
    <row r="25" spans="1:8" ht="15" customHeight="1" x14ac:dyDescent="0.15">
      <c r="A25" s="158" t="s">
        <v>2266</v>
      </c>
      <c r="B25" s="159"/>
    </row>
    <row r="26" spans="1:8" ht="15" customHeight="1" x14ac:dyDescent="0.15">
      <c r="A26" s="160"/>
      <c r="B26" s="162" t="s">
        <v>2328</v>
      </c>
      <c r="E26" s="18" t="s">
        <v>2327</v>
      </c>
      <c r="F26" s="46">
        <f ca="1">IF(wsjob_JOB_KIND="","",IF(ISERROR(MATCH(wsjob_JOB_KIND,cls_JOB_KIND_erea,0)),"",OFFSET(cls_JOB_KIND_base_point,MATCH(wsjob_JOB_KIND,cls_JOB_KIND_erea,0),1)))</f>
        <v>1</v>
      </c>
      <c r="G26" s="18" t="s">
        <v>2326</v>
      </c>
    </row>
    <row r="27" spans="1:8" ht="15" customHeight="1" x14ac:dyDescent="0.15">
      <c r="A27" s="160"/>
      <c r="B27" s="162" t="s">
        <v>2267</v>
      </c>
      <c r="E27" s="18" t="s">
        <v>2342</v>
      </c>
      <c r="F27" s="46" t="str">
        <f ca="1">IF(AND(chk_JOB_KIND_kakunin=1,wskakunin_koutei01_KOUTEI_TEXT&lt;&gt;""),1,"")</f>
        <v/>
      </c>
    </row>
    <row r="28" spans="1:8" ht="15" customHeight="1" x14ac:dyDescent="0.15">
      <c r="A28" s="160"/>
      <c r="B28" s="162" t="s">
        <v>2268</v>
      </c>
      <c r="E28" s="18" t="s">
        <v>2343</v>
      </c>
      <c r="F28" s="46" t="str">
        <f ca="1">IF(AND(chk_JOB_KIND_kakunin=1,wskakunin_koutei02_KOUTEI_TEXT&lt;&gt;""),1,"")</f>
        <v/>
      </c>
    </row>
    <row r="29" spans="1:8" ht="15" customHeight="1" x14ac:dyDescent="0.15">
      <c r="A29" s="160"/>
      <c r="B29" s="162" t="s">
        <v>2269</v>
      </c>
      <c r="E29" s="18" t="s">
        <v>2344</v>
      </c>
      <c r="F29" s="46" t="str">
        <f ca="1">IF(AND(chk_JOB_KIND_kakunin=1,wskakunin_koutei03_KOUTEI_TEXT&lt;&gt;""),1,"")</f>
        <v/>
      </c>
    </row>
    <row r="30" spans="1:8" ht="15" customHeight="1" x14ac:dyDescent="0.15">
      <c r="A30" s="160"/>
      <c r="B30" s="191" t="s">
        <v>2340</v>
      </c>
      <c r="E30" s="18" t="s">
        <v>2345</v>
      </c>
      <c r="F30" s="46">
        <f ca="1">IF(chk_JOB_KIND_kakunin=3,IF(wskakunin_koutei_izen01_KOUTEI_TEXT="",30,IF(wskakunin_koutei_izen02_KOUTEI_TEXT&lt;&gt;"",32,31)),IF(chk_JOB_KIND_kakunin=1,10,IF(chk_JOB_KIND_kakunin=4,40,"")))</f>
        <v>10</v>
      </c>
      <c r="G30" s="18" t="s">
        <v>2341</v>
      </c>
    </row>
    <row r="31" spans="1:8" ht="15" customHeight="1" x14ac:dyDescent="0.15">
      <c r="A31" s="160"/>
      <c r="B31" s="191" t="s">
        <v>12</v>
      </c>
      <c r="E31" s="18" t="s">
        <v>2325</v>
      </c>
      <c r="F31" s="46" t="str">
        <f ca="1">IF(chk_JOB_KIND_kakunin=1,cst_shinsei_ISSUE_NO,cst_wskakunin_LAST_ISSUE_NO)</f>
        <v/>
      </c>
      <c r="G31" s="18" t="s">
        <v>2324</v>
      </c>
    </row>
    <row r="32" spans="1:8" ht="15" customHeight="1" x14ac:dyDescent="0.15">
      <c r="A32" s="161"/>
      <c r="B32" s="163"/>
      <c r="E32" s="18" t="s">
        <v>2558</v>
      </c>
      <c r="F32" s="46" t="str">
        <f ca="1">IF(chk_JOB_KIND_kakunin=1,cst_shinsei_ISSUE_DATE,cst_wskakunin_LAST_ISSUE_DATE)</f>
        <v/>
      </c>
    </row>
    <row r="33" spans="1:8" ht="15" customHeight="1" x14ac:dyDescent="0.15">
      <c r="A33" s="36"/>
    </row>
    <row r="34" spans="1:8" ht="15" customHeight="1" x14ac:dyDescent="0.15">
      <c r="A34" s="226" t="s">
        <v>2628</v>
      </c>
      <c r="B34" s="227"/>
      <c r="C34" s="18" t="s">
        <v>2629</v>
      </c>
      <c r="D34" s="261"/>
      <c r="E34" s="18" t="s">
        <v>2630</v>
      </c>
      <c r="F34" s="261" t="str">
        <f>IF(shinsei_PROVO_DATE="","",shinsei_PROVO_DATE)</f>
        <v/>
      </c>
    </row>
    <row r="35" spans="1:8" ht="15" customHeight="1" x14ac:dyDescent="0.15">
      <c r="A35" s="226" t="s">
        <v>2631</v>
      </c>
      <c r="B35" s="227"/>
      <c r="C35" s="18" t="s">
        <v>2632</v>
      </c>
      <c r="D35" s="243"/>
      <c r="E35" s="18" t="s">
        <v>2633</v>
      </c>
      <c r="F35" s="155" t="str">
        <f>IF(shinsei_PROVO_NO="","",shinsei_PROVO_NO)</f>
        <v/>
      </c>
    </row>
    <row r="36" spans="1:8" ht="15" customHeight="1" x14ac:dyDescent="0.15">
      <c r="A36" s="36"/>
    </row>
    <row r="37" spans="1:8" ht="15" customHeight="1" x14ac:dyDescent="0.15">
      <c r="A37" s="164" t="s">
        <v>2293</v>
      </c>
      <c r="B37" s="165"/>
      <c r="D37" s="19"/>
      <c r="F37" s="19"/>
      <c r="G37" s="19"/>
      <c r="H37" s="19"/>
    </row>
    <row r="38" spans="1:8" ht="15" customHeight="1" x14ac:dyDescent="0.15">
      <c r="A38" s="166" t="s">
        <v>44</v>
      </c>
      <c r="B38" s="167"/>
      <c r="C38" s="18" t="s">
        <v>64</v>
      </c>
      <c r="D38" s="241" t="s">
        <v>32</v>
      </c>
      <c r="E38" s="18" t="s">
        <v>82</v>
      </c>
      <c r="F38" s="155" t="str">
        <f>IF(shinsei_UKETUKE_NO="","",shinsei_UKETUKE_NO)</f>
        <v/>
      </c>
      <c r="G38" s="19"/>
      <c r="H38" s="19"/>
    </row>
    <row r="39" spans="1:8" ht="15" customHeight="1" x14ac:dyDescent="0.15">
      <c r="A39" s="168"/>
      <c r="B39" s="169"/>
      <c r="D39" s="36"/>
      <c r="F39" s="19"/>
      <c r="G39" s="19"/>
      <c r="H39" s="19"/>
    </row>
    <row r="40" spans="1:8" ht="15" customHeight="1" x14ac:dyDescent="0.15">
      <c r="A40" s="170" t="s">
        <v>45</v>
      </c>
      <c r="B40" s="171"/>
      <c r="C40" s="18" t="s">
        <v>65</v>
      </c>
      <c r="D40" s="261"/>
      <c r="E40" s="18" t="s">
        <v>83</v>
      </c>
      <c r="F40" s="261" t="str">
        <f>IF(shinsei_HIKIUKE_DATE="","",shinsei_HIKIUKE_DATE)</f>
        <v/>
      </c>
      <c r="G40" s="19"/>
      <c r="H40" s="19"/>
    </row>
    <row r="41" spans="1:8" ht="15" customHeight="1" x14ac:dyDescent="0.15">
      <c r="A41" s="172"/>
      <c r="B41" s="173"/>
      <c r="D41" s="102"/>
      <c r="F41" s="19"/>
      <c r="G41" s="19"/>
      <c r="H41" s="19"/>
    </row>
    <row r="42" spans="1:8" ht="15" customHeight="1" x14ac:dyDescent="0.15">
      <c r="A42" s="174" t="s">
        <v>12</v>
      </c>
      <c r="B42" s="175"/>
      <c r="C42" s="18" t="s">
        <v>66</v>
      </c>
      <c r="D42" s="241"/>
      <c r="E42" s="18" t="s">
        <v>111</v>
      </c>
      <c r="F42" s="155" t="str">
        <f>IF(shinsei_ISSUE_NO="","",shinsei_ISSUE_NO)</f>
        <v/>
      </c>
      <c r="G42" s="19"/>
      <c r="H42" s="19"/>
    </row>
    <row r="43" spans="1:8" ht="15" customHeight="1" x14ac:dyDescent="0.15">
      <c r="A43" s="231"/>
      <c r="B43" s="175"/>
      <c r="D43" s="36"/>
      <c r="E43" s="18" t="s">
        <v>2693</v>
      </c>
      <c r="F43" s="155" t="str">
        <f>IF(shinsei_ISSUE_NO="","","第"&amp;shinsei_ISSUE_NO&amp;"号")</f>
        <v/>
      </c>
      <c r="G43" s="19"/>
      <c r="H43" s="19"/>
    </row>
    <row r="44" spans="1:8" ht="15" customHeight="1" x14ac:dyDescent="0.15">
      <c r="A44" s="238" t="s">
        <v>12</v>
      </c>
      <c r="B44" s="239"/>
      <c r="C44" s="18" t="s">
        <v>2652</v>
      </c>
      <c r="D44" s="243"/>
      <c r="E44" s="18" t="s">
        <v>2653</v>
      </c>
      <c r="F44" s="155" t="str">
        <f>IF(shinsei_KAKU_SUMI_NO="","",shinsei_KAKU_SUMI_NO)</f>
        <v/>
      </c>
      <c r="G44" s="19"/>
      <c r="H44" s="19"/>
    </row>
    <row r="45" spans="1:8" ht="15" customHeight="1" x14ac:dyDescent="0.15">
      <c r="A45" s="170" t="s">
        <v>46</v>
      </c>
      <c r="B45" s="171"/>
      <c r="G45" s="19"/>
      <c r="H45" s="19"/>
    </row>
    <row r="46" spans="1:8" ht="15" customHeight="1" x14ac:dyDescent="0.15">
      <c r="A46" s="176"/>
      <c r="B46" s="177" t="s">
        <v>1235</v>
      </c>
      <c r="C46" s="18" t="s">
        <v>395</v>
      </c>
      <c r="D46" s="261"/>
      <c r="E46" s="18" t="s">
        <v>84</v>
      </c>
      <c r="F46" s="261" t="str">
        <f>IF(shinsei_ISSUE_DATE="","",shinsei_ISSUE_DATE)</f>
        <v/>
      </c>
      <c r="G46" s="19"/>
      <c r="H46" s="19"/>
    </row>
    <row r="47" spans="1:8" ht="15" customHeight="1" x14ac:dyDescent="0.15">
      <c r="A47" s="178"/>
      <c r="B47" s="179"/>
      <c r="D47" s="102"/>
      <c r="G47" s="19"/>
      <c r="H47" s="19"/>
    </row>
    <row r="48" spans="1:8" ht="15" customHeight="1" x14ac:dyDescent="0.15">
      <c r="A48" s="174" t="s">
        <v>13</v>
      </c>
      <c r="B48" s="175"/>
      <c r="C48" s="19" t="s">
        <v>2500</v>
      </c>
      <c r="D48" s="155"/>
      <c r="E48" s="18" t="s">
        <v>2501</v>
      </c>
      <c r="F48" s="46" t="str">
        <f>IF(shinsei_ISSUE_KOUFU_NAME="","",shinsei_ISSUE_KOUFU_NAME)</f>
        <v/>
      </c>
    </row>
    <row r="49" spans="1:8" ht="15" customHeight="1" x14ac:dyDescent="0.15">
      <c r="A49" s="174"/>
      <c r="B49" s="175"/>
      <c r="D49" s="102"/>
      <c r="G49" s="19"/>
      <c r="H49" s="19"/>
    </row>
    <row r="50" spans="1:8" ht="15" customHeight="1" x14ac:dyDescent="0.15">
      <c r="A50" s="217" t="s">
        <v>2599</v>
      </c>
      <c r="B50" s="218"/>
      <c r="D50" s="19"/>
      <c r="F50" s="19"/>
      <c r="G50" s="19"/>
      <c r="H50" s="19"/>
    </row>
    <row r="51" spans="1:8" ht="15" customHeight="1" x14ac:dyDescent="0.15">
      <c r="A51" s="219"/>
      <c r="B51" s="220" t="s">
        <v>419</v>
      </c>
      <c r="C51" s="18" t="s">
        <v>2600</v>
      </c>
      <c r="D51" s="19"/>
      <c r="E51" s="18" t="s">
        <v>2601</v>
      </c>
      <c r="F51" s="19" t="str">
        <f>IF(shinsei_build_p6_01_PAGE6_KOUZOU_KEISAN_KIND__005=1,"■","□")</f>
        <v>□</v>
      </c>
      <c r="G51" s="19"/>
      <c r="H51" s="19"/>
    </row>
    <row r="52" spans="1:8" ht="15" customHeight="1" x14ac:dyDescent="0.15">
      <c r="A52" s="219"/>
      <c r="B52" s="220" t="s">
        <v>2602</v>
      </c>
      <c r="C52" s="18" t="s">
        <v>2603</v>
      </c>
      <c r="D52" s="19"/>
      <c r="E52" s="18" t="s">
        <v>2604</v>
      </c>
      <c r="F52" s="19" t="str">
        <f>IF(shinsei_build_p6_01_PAGE6_KOUZOU_KEISAN_KIND__004=1,"■","□")</f>
        <v>□</v>
      </c>
      <c r="G52" s="19"/>
      <c r="H52" s="19"/>
    </row>
    <row r="53" spans="1:8" ht="15" customHeight="1" x14ac:dyDescent="0.15">
      <c r="A53" s="219"/>
      <c r="B53" s="220" t="s">
        <v>2605</v>
      </c>
      <c r="C53" s="18" t="s">
        <v>2606</v>
      </c>
      <c r="D53" s="19"/>
      <c r="E53" s="18" t="s">
        <v>2607</v>
      </c>
      <c r="F53" s="19" t="str">
        <f>IF(shinsei_build_p6_01_PAGE6_KOUZOU_KEISAN_KIND__002=1,"■","□")</f>
        <v>□</v>
      </c>
      <c r="G53" s="19"/>
      <c r="H53" s="19"/>
    </row>
    <row r="54" spans="1:8" ht="15" customHeight="1" x14ac:dyDescent="0.15">
      <c r="A54" s="136" t="s">
        <v>2670</v>
      </c>
      <c r="B54" s="137"/>
      <c r="C54" s="18" t="s">
        <v>2671</v>
      </c>
      <c r="D54" s="155" t="s">
        <v>2860</v>
      </c>
      <c r="E54" s="18" t="s">
        <v>2672</v>
      </c>
      <c r="F54" s="155" t="str">
        <f>IF(wskakunin_KIKAN_NAME="","",wskakunin_KIKAN_NAME)</f>
        <v>一般財団法人 さいたま住宅検査センター　理事長</v>
      </c>
      <c r="G54" s="19"/>
      <c r="H54" s="19"/>
    </row>
    <row r="55" spans="1:8" ht="15" customHeight="1" x14ac:dyDescent="0.15">
      <c r="A55" s="6" t="s">
        <v>396</v>
      </c>
      <c r="B55" s="140"/>
      <c r="G55" s="19"/>
      <c r="H55" s="19"/>
    </row>
    <row r="56" spans="1:8" ht="15" customHeight="1" x14ac:dyDescent="0.15">
      <c r="A56" s="13"/>
      <c r="B56" s="141" t="s">
        <v>396</v>
      </c>
      <c r="C56" s="18" t="s">
        <v>2294</v>
      </c>
      <c r="D56" s="265"/>
      <c r="E56" s="18" t="s">
        <v>394</v>
      </c>
      <c r="F56" s="265" t="str">
        <f>IF(wskakunin_SHINSEI_DATE="","",wskakunin_SHINSEI_DATE)</f>
        <v/>
      </c>
      <c r="H56" s="19"/>
    </row>
    <row r="57" spans="1:8" ht="15" customHeight="1" x14ac:dyDescent="0.15">
      <c r="A57" s="48" t="s">
        <v>409</v>
      </c>
      <c r="B57" s="51"/>
      <c r="G57" s="19"/>
      <c r="H57" s="19"/>
    </row>
    <row r="58" spans="1:8" ht="15" customHeight="1" x14ac:dyDescent="0.15">
      <c r="A58" s="85"/>
      <c r="B58" s="139" t="s">
        <v>12</v>
      </c>
      <c r="C58" s="18" t="s">
        <v>411</v>
      </c>
      <c r="D58" s="243"/>
      <c r="E58" s="18" t="s">
        <v>412</v>
      </c>
      <c r="F58" s="155" t="str">
        <f>IF(wskakunin_LAST_ISSUE_NO="","",wskakunin_LAST_ISSUE_NO)</f>
        <v/>
      </c>
      <c r="G58" s="19"/>
      <c r="H58" s="19"/>
    </row>
    <row r="59" spans="1:8" ht="15" customHeight="1" x14ac:dyDescent="0.15">
      <c r="A59" s="85"/>
      <c r="B59" s="139" t="s">
        <v>46</v>
      </c>
      <c r="C59" s="18" t="s">
        <v>413</v>
      </c>
      <c r="D59" s="261"/>
      <c r="E59" s="18" t="s">
        <v>414</v>
      </c>
      <c r="F59" s="261" t="str">
        <f>IF(wskakunin_LAST_ISSUE_DATE="","",wskakunin_LAST_ISSUE_DATE)</f>
        <v/>
      </c>
      <c r="G59" s="19"/>
      <c r="H59" s="19"/>
    </row>
    <row r="60" spans="1:8" ht="15" customHeight="1" x14ac:dyDescent="0.15">
      <c r="A60" s="85"/>
      <c r="B60" s="234" t="s">
        <v>13</v>
      </c>
      <c r="C60" s="18" t="s">
        <v>415</v>
      </c>
      <c r="D60" s="243"/>
      <c r="E60" s="18" t="s">
        <v>416</v>
      </c>
      <c r="F60" s="155" t="str">
        <f>IF(wskakunin_LAST_ISSUE_NAME="","",wskakunin_LAST_ISSUE_NAME)</f>
        <v/>
      </c>
      <c r="G60" s="19"/>
      <c r="H60" s="19"/>
    </row>
    <row r="61" spans="1:8" ht="15" customHeight="1" x14ac:dyDescent="0.15">
      <c r="A61" s="85"/>
      <c r="B61" s="139" t="s">
        <v>410</v>
      </c>
      <c r="C61" s="18" t="s">
        <v>417</v>
      </c>
      <c r="D61" s="243"/>
      <c r="E61" s="18" t="s">
        <v>418</v>
      </c>
      <c r="F61" s="155" t="str">
        <f>IF(wskakunin_P1_HENKOU_GAIYOU="","",wskakunin_P1_HENKOU_GAIYOU)</f>
        <v/>
      </c>
      <c r="G61" s="19"/>
      <c r="H61" s="19"/>
    </row>
    <row r="62" spans="1:8" ht="15" customHeight="1" x14ac:dyDescent="0.15">
      <c r="A62" s="138"/>
      <c r="B62" s="142"/>
      <c r="G62" s="19"/>
      <c r="H62" s="19"/>
    </row>
    <row r="63" spans="1:8" ht="15" customHeight="1" x14ac:dyDescent="0.15">
      <c r="A63" s="231" t="s">
        <v>2638</v>
      </c>
      <c r="B63" s="175"/>
      <c r="D63" s="102"/>
      <c r="E63" s="18" t="s">
        <v>2639</v>
      </c>
      <c r="F63" s="244" t="str">
        <f ca="1">IF(chk_JOB_KIND_kakunin=1,cst_shinsei_ISSUE_NO,cst_wskakunin_LAST_ISSUE_NO)</f>
        <v/>
      </c>
      <c r="G63" s="19"/>
      <c r="H63" s="19"/>
    </row>
    <row r="64" spans="1:8" ht="15" customHeight="1" x14ac:dyDescent="0.15">
      <c r="A64" s="231" t="s">
        <v>2640</v>
      </c>
      <c r="B64" s="175"/>
      <c r="D64" s="102"/>
      <c r="F64" s="19"/>
      <c r="G64" s="19"/>
      <c r="H64" s="19"/>
    </row>
    <row r="65" spans="1:8" ht="15" customHeight="1" x14ac:dyDescent="0.15">
      <c r="A65" s="232" t="s">
        <v>2625</v>
      </c>
      <c r="B65" s="233"/>
      <c r="C65"/>
      <c r="D65" s="224"/>
      <c r="E65" s="18" t="s">
        <v>2626</v>
      </c>
      <c r="F65" s="245" t="str">
        <f ca="1">IF(OR(cst_wsjob_JOB_KIND=101,cst_wsjob_JOB_KIND=102),cst_shinsei_ISSUE_KOUFU_NAME,cst_wskakunin_LAST_ISSUE_NAME)</f>
        <v/>
      </c>
      <c r="G65" s="19"/>
      <c r="H65" s="19"/>
    </row>
    <row r="66" spans="1:8" ht="15" customHeight="1" x14ac:dyDescent="0.15">
      <c r="A66" s="235" t="s">
        <v>2642</v>
      </c>
      <c r="B66" s="236"/>
      <c r="C66"/>
      <c r="D66" s="224"/>
      <c r="E66" s="18" t="s">
        <v>2641</v>
      </c>
      <c r="F66" s="246" t="str">
        <f ca="1">IF(chk_JOB_KIND_kakunin=1,cst_shinsei_ISSUE_DATE,cst_wskakunin_LAST_ISSUE_DATE)</f>
        <v/>
      </c>
      <c r="G66" s="19"/>
      <c r="H66" s="19"/>
    </row>
    <row r="67" spans="1:8" ht="15" customHeight="1" x14ac:dyDescent="0.15">
      <c r="A67" s="222"/>
      <c r="B67" s="223"/>
      <c r="G67" s="19"/>
      <c r="H67" s="19"/>
    </row>
    <row r="68" spans="1:8" ht="15" customHeight="1" x14ac:dyDescent="0.15">
      <c r="A68" s="50" t="s">
        <v>410</v>
      </c>
      <c r="B68" s="51"/>
      <c r="C68" s="18" t="s">
        <v>610</v>
      </c>
      <c r="D68" s="46"/>
      <c r="E68" s="18" t="s">
        <v>611</v>
      </c>
      <c r="F68" s="46" t="str">
        <f>IF(wskakunin_PAGE1_ALTERATION_NOTE="","",wskakunin_PAGE1_ALTERATION_NOTE)</f>
        <v/>
      </c>
    </row>
    <row r="69" spans="1:8" ht="15" customHeight="1" x14ac:dyDescent="0.15">
      <c r="A69" s="53"/>
      <c r="B69" s="65"/>
    </row>
    <row r="70" spans="1:8" ht="15" customHeight="1" x14ac:dyDescent="0.15">
      <c r="A70" s="54" t="s">
        <v>407</v>
      </c>
      <c r="B70" s="118"/>
      <c r="G70" s="19"/>
      <c r="H70" s="19"/>
    </row>
    <row r="71" spans="1:8" ht="15" customHeight="1" x14ac:dyDescent="0.15">
      <c r="A71" s="114"/>
      <c r="B71" s="78" t="s">
        <v>406</v>
      </c>
      <c r="C71" s="18" t="s">
        <v>609</v>
      </c>
      <c r="D71" s="247"/>
      <c r="E71" s="18" t="s">
        <v>408</v>
      </c>
      <c r="F71" s="247" t="str">
        <f>IF(wskakunin_APPLICANT_NAME="","",wskakunin_APPLICANT_NAME)</f>
        <v/>
      </c>
      <c r="G71" s="19"/>
      <c r="H71" s="19"/>
    </row>
    <row r="72" spans="1:8" ht="15" customHeight="1" x14ac:dyDescent="0.15">
      <c r="A72" s="119"/>
      <c r="B72" s="116"/>
      <c r="G72" s="19"/>
      <c r="H72" s="19"/>
    </row>
    <row r="73" spans="1:8" ht="15" customHeight="1" x14ac:dyDescent="0.15">
      <c r="A73" s="48" t="s">
        <v>7</v>
      </c>
      <c r="B73" s="51"/>
      <c r="G73" s="19"/>
      <c r="H73" s="19"/>
    </row>
    <row r="74" spans="1:8" ht="15" customHeight="1" x14ac:dyDescent="0.15">
      <c r="A74" s="85"/>
      <c r="B74" s="79" t="s">
        <v>33</v>
      </c>
      <c r="C74" s="18" t="s">
        <v>382</v>
      </c>
      <c r="D74" s="155"/>
      <c r="E74" s="18" t="s">
        <v>383</v>
      </c>
      <c r="F74" s="155" t="str">
        <f>IF(wskakunin_owner1_JIMU_NAME="", "", wskakunin_owner1_JIMU_NAME)</f>
        <v/>
      </c>
      <c r="G74" s="19"/>
      <c r="H74" s="19"/>
    </row>
    <row r="75" spans="1:8" ht="15" customHeight="1" x14ac:dyDescent="0.15">
      <c r="A75" s="85"/>
      <c r="B75" s="79" t="s">
        <v>98</v>
      </c>
      <c r="C75" s="18" t="s">
        <v>384</v>
      </c>
      <c r="D75" s="155" t="s">
        <v>2861</v>
      </c>
      <c r="E75" s="18" t="s">
        <v>385</v>
      </c>
      <c r="F75" s="155" t="str">
        <f>IF(wskakunin_owner1_JIMU_NAME_KANA="","",wskakunin_owner1_JIMU_NAME_KANA)</f>
        <v>ｱｱｱｱ</v>
      </c>
      <c r="G75" s="19"/>
      <c r="H75" s="19"/>
    </row>
    <row r="76" spans="1:8" ht="15" customHeight="1" x14ac:dyDescent="0.15">
      <c r="A76" s="85"/>
      <c r="B76" s="79" t="s">
        <v>31</v>
      </c>
      <c r="C76" s="18" t="s">
        <v>386</v>
      </c>
      <c r="D76" s="155"/>
      <c r="E76" s="18" t="s">
        <v>85</v>
      </c>
      <c r="F76" s="155" t="str">
        <f>IF(wskakunin_owner1_POST="", "", wskakunin_owner1_POST)</f>
        <v/>
      </c>
      <c r="G76" s="19"/>
      <c r="H76" s="19"/>
    </row>
    <row r="77" spans="1:8" ht="15" customHeight="1" x14ac:dyDescent="0.15">
      <c r="A77" s="85"/>
      <c r="B77" s="79" t="s">
        <v>99</v>
      </c>
      <c r="C77" s="18" t="s">
        <v>387</v>
      </c>
      <c r="D77" s="155"/>
      <c r="E77" s="18" t="s">
        <v>388</v>
      </c>
      <c r="F77" s="155" t="str">
        <f>IF(wskakunin_owner1_POST_KANA="","",wskakunin_owner1_POST_KANA)</f>
        <v/>
      </c>
      <c r="G77" s="19"/>
      <c r="H77" s="19"/>
    </row>
    <row r="78" spans="1:8" ht="15" customHeight="1" x14ac:dyDescent="0.15">
      <c r="A78" s="85"/>
      <c r="B78" s="79" t="s">
        <v>3</v>
      </c>
      <c r="C78" s="18" t="s">
        <v>67</v>
      </c>
      <c r="D78" s="155"/>
      <c r="E78" s="18" t="s">
        <v>86</v>
      </c>
      <c r="F78" s="155" t="str">
        <f>IF(wskakunin_owner1_NAME="", "", wskakunin_owner1_NAME)</f>
        <v/>
      </c>
      <c r="G78" s="19"/>
      <c r="H78" s="19"/>
    </row>
    <row r="79" spans="1:8" ht="15" customHeight="1" x14ac:dyDescent="0.15">
      <c r="A79" s="52"/>
      <c r="B79" s="79" t="s">
        <v>100</v>
      </c>
      <c r="C79" s="18" t="s">
        <v>68</v>
      </c>
      <c r="D79" s="155"/>
      <c r="E79" s="18" t="s">
        <v>87</v>
      </c>
      <c r="F79" s="155" t="str">
        <f>IF(wskakunin_owner1_NAME_KANA="","",wskakunin_owner1_NAME_KANA)</f>
        <v/>
      </c>
      <c r="G79" s="19"/>
      <c r="H79" s="19"/>
    </row>
    <row r="80" spans="1:8" ht="15" customHeight="1" x14ac:dyDescent="0.15">
      <c r="A80" s="52"/>
      <c r="B80" s="117" t="s">
        <v>101</v>
      </c>
      <c r="D80" s="19"/>
      <c r="E80" s="18" t="s">
        <v>389</v>
      </c>
      <c r="F80" s="155" t="str">
        <f>IF(wskakunin_owner1_JIMU_NAME_KANA="",cst_wskakunin_owner1_NAME_KANA,IF(wskakunin_owner1_POST_KANA="",cst_wskakunin_owner1_NAME_KANA,cst_wskakunin_owner1_JIMU_NAME_KANA&amp;"　"&amp;cst_wskakunin_owner1_POST_KANA&amp;"　"&amp;cst_wskakunin_owner1_NAME_KANA))</f>
        <v/>
      </c>
      <c r="G80" s="19"/>
      <c r="H80" s="19"/>
    </row>
    <row r="81" spans="1:8" ht="15" customHeight="1" x14ac:dyDescent="0.15">
      <c r="A81" s="228"/>
      <c r="B81" s="117" t="s">
        <v>2661</v>
      </c>
      <c r="D81" s="19"/>
      <c r="E81" s="18" t="s">
        <v>2662</v>
      </c>
      <c r="F81" s="155" t="str">
        <f>IF(AND(cst_wskakunin_owner1_JIMU_NAME_KANA="",cst_wskakunin_owner1_POST_KANA=""),cst_wskakunin_owner1_NAME_KANA,IF(cst_wskakunin_owner1_JIMU_NAME_KANA="",cst_wskakunin_owner1_POST_KANA&amp;"　"&amp;cst_wskakunin_owner1_NAME_KANA,IF(cst_wskakunin_owner1_POST_KANA="",cst_wskakunin_owner1_JIMU_NAME_KANA&amp;"　"&amp;cst_wskakunin_owner1_NAME_KANA,cst_wskakunin_owner1_JIMU_NAME_KANA&amp;"　"&amp;cst_wskakunin_owner1_POST_KANA&amp;"　"&amp;cst_wskakunin_owner1_NAME_KANA)))</f>
        <v>ｱｱｱｱ　</v>
      </c>
      <c r="G81" s="19"/>
      <c r="H81" s="19"/>
    </row>
    <row r="82" spans="1:8" ht="15" customHeight="1" x14ac:dyDescent="0.15">
      <c r="A82" s="52"/>
      <c r="B82" s="79" t="s">
        <v>8</v>
      </c>
      <c r="C82" s="18" t="s">
        <v>69</v>
      </c>
      <c r="D82" s="241"/>
      <c r="E82" s="18" t="s">
        <v>88</v>
      </c>
      <c r="F82" s="155" t="str">
        <f>IF(wskakunin_owner1_ZIP="", "", wskakunin_owner1_ZIP)</f>
        <v/>
      </c>
      <c r="G82" s="19"/>
      <c r="H82" s="19"/>
    </row>
    <row r="83" spans="1:8" ht="15" customHeight="1" x14ac:dyDescent="0.15">
      <c r="A83" s="228"/>
      <c r="B83" s="79"/>
      <c r="E83" s="18" t="s">
        <v>2643</v>
      </c>
      <c r="F83" s="155" t="str">
        <f>IF(wskakunin_owner1_ZIP="","",LEFT(wskakunin_owner1_ZIP,3)&amp;RIGHT(wskakunin_owner1_ZIP,4))</f>
        <v/>
      </c>
      <c r="G83" s="19"/>
      <c r="H83" s="19"/>
    </row>
    <row r="84" spans="1:8" ht="15" customHeight="1" x14ac:dyDescent="0.15">
      <c r="A84" s="52"/>
      <c r="B84" s="79" t="s">
        <v>9</v>
      </c>
      <c r="C84" s="18" t="s">
        <v>70</v>
      </c>
      <c r="D84" s="155"/>
      <c r="E84" s="18" t="s">
        <v>89</v>
      </c>
      <c r="F84" s="155" t="str">
        <f>IF(wskakunin_owner1__address="", "", wskakunin_owner1__address)</f>
        <v/>
      </c>
      <c r="G84" s="19"/>
      <c r="H84" s="19"/>
    </row>
    <row r="85" spans="1:8" ht="15" customHeight="1" x14ac:dyDescent="0.15">
      <c r="A85" s="52"/>
      <c r="B85" s="79" t="s">
        <v>10</v>
      </c>
      <c r="C85" s="18" t="s">
        <v>71</v>
      </c>
      <c r="D85" s="241"/>
      <c r="E85" s="18" t="s">
        <v>90</v>
      </c>
      <c r="F85" s="155" t="str">
        <f>IF(wskakunin_owner1_TEL="", "", wskakunin_owner1_TEL)</f>
        <v/>
      </c>
      <c r="G85" s="19"/>
      <c r="H85" s="19"/>
    </row>
    <row r="86" spans="1:8" ht="15" customHeight="1" x14ac:dyDescent="0.15">
      <c r="A86" s="52"/>
      <c r="B86" s="76" t="s">
        <v>96</v>
      </c>
      <c r="D86" s="19"/>
      <c r="E86" s="18" t="s">
        <v>112</v>
      </c>
      <c r="F86" s="248" t="str">
        <f>IF(wskakunin_owner1_JIMU_NAME="",cst_wskakunin_owner1_NAME,IF(wskakunin_owner1_POST="",cst_wskakunin_owner1_NAME,cst_wskakunin_owner1_JIMU_NAME&amp;"　"&amp;cst_wskakunin_owner1_POST&amp;"　"&amp;cst_wskakunin_owner1_NAME))</f>
        <v/>
      </c>
      <c r="G86" s="59"/>
      <c r="H86" s="59"/>
    </row>
    <row r="87" spans="1:8" ht="15" customHeight="1" x14ac:dyDescent="0.15">
      <c r="A87" s="52"/>
      <c r="B87" s="76" t="s">
        <v>95</v>
      </c>
      <c r="D87" s="19"/>
      <c r="E87" s="18" t="s">
        <v>113</v>
      </c>
      <c r="F87" s="155" t="str">
        <f>IF(wskakunin_owner1_POST&amp;wskakunin_owner1_NAME="","",IF(wskakunin_owner1_POST="",wskakunin_owner1_NAME,wskakunin_owner1_POST&amp;"　"&amp;wskakunin_owner1_NAME))</f>
        <v/>
      </c>
      <c r="G87" s="19"/>
      <c r="H87" s="19"/>
    </row>
    <row r="88" spans="1:8" ht="30" customHeight="1" x14ac:dyDescent="0.15">
      <c r="A88" s="52"/>
      <c r="B88" s="79" t="s">
        <v>94</v>
      </c>
      <c r="D88" s="19"/>
      <c r="E88" s="18" t="s">
        <v>2635</v>
      </c>
      <c r="F88" s="248" t="str">
        <f>wskakunin_owner1_JIMU_NAME&amp;IF(wskakunin_owner1_JIMU_NAME="","",CHAR(10))&amp;cst_wskakunin_owner1__space2</f>
        <v/>
      </c>
      <c r="G88" s="59"/>
      <c r="H88" s="59"/>
    </row>
    <row r="89" spans="1:8" ht="30" customHeight="1" x14ac:dyDescent="0.15">
      <c r="A89" s="228"/>
      <c r="B89" s="151" t="s">
        <v>2664</v>
      </c>
      <c r="D89" s="19"/>
      <c r="E89" s="18" t="s">
        <v>2663</v>
      </c>
      <c r="F89" s="248" t="str">
        <f>IF(AND(cst_wskakunin_owner1_JIMU_NAME="",cst_wskakunin_owner1_POST=""),cst_wskakunin_owner1_NAME,IF(cst_wskakunin_owner1_JIMU_NAME="",cst_wskakunin_owner1_POST&amp;"　"&amp;cst_wskakunin_owner1_NAME,IF(cst_wskakunin_owner1_POST="",cst_wskakunin_owner1_JIMU_NAME&amp;"　"&amp;cst_wskakunin_owner1_NAME,cst_wskakunin_owner1_JIMU_NAME&amp;"　"&amp;cst_wskakunin_owner1_POST&amp;"　"&amp;cst_wskakunin_owner1_NAME)))</f>
        <v/>
      </c>
      <c r="G89" s="59"/>
      <c r="H89" s="59"/>
    </row>
    <row r="90" spans="1:8" ht="15" customHeight="1" x14ac:dyDescent="0.15">
      <c r="A90" s="228"/>
      <c r="B90" s="151" t="s">
        <v>2697</v>
      </c>
      <c r="D90" s="19"/>
      <c r="E90" s="18" t="s">
        <v>2699</v>
      </c>
      <c r="F90" s="248" t="str">
        <f>IF(cst_wskakunin_owner1_JIMU_NAME="", cst_wskakunin_owner1_NAME, cst_wskakunin_owner1_JIMU_NAME)</f>
        <v/>
      </c>
      <c r="G90" s="59"/>
      <c r="H90" s="59"/>
    </row>
    <row r="91" spans="1:8" ht="15" customHeight="1" x14ac:dyDescent="0.15">
      <c r="A91" s="228"/>
      <c r="B91" s="151" t="s">
        <v>2698</v>
      </c>
      <c r="D91" s="19"/>
      <c r="E91" s="18" t="s">
        <v>2700</v>
      </c>
      <c r="F91" s="248" t="str">
        <f>IF(cst_wskakunin_owner1_JIMU_NAME="", "", cst_wskakunin_owner1__space2)</f>
        <v/>
      </c>
      <c r="G91" s="59"/>
      <c r="H91" s="59"/>
    </row>
    <row r="92" spans="1:8" ht="15" customHeight="1" x14ac:dyDescent="0.15">
      <c r="A92" s="53"/>
      <c r="B92" s="87"/>
      <c r="D92" s="19"/>
      <c r="G92" s="59"/>
      <c r="H92" s="59"/>
    </row>
    <row r="93" spans="1:8" ht="15" customHeight="1" x14ac:dyDescent="0.15">
      <c r="A93" s="48" t="s">
        <v>1401</v>
      </c>
      <c r="B93" s="51"/>
      <c r="G93" s="19"/>
      <c r="H93" s="19"/>
    </row>
    <row r="94" spans="1:8" ht="15" customHeight="1" x14ac:dyDescent="0.15">
      <c r="A94" s="85"/>
      <c r="B94" s="79" t="s">
        <v>33</v>
      </c>
      <c r="C94" s="18" t="s">
        <v>1409</v>
      </c>
      <c r="D94" s="155"/>
      <c r="E94" s="18" t="s">
        <v>2853</v>
      </c>
      <c r="F94" s="155" t="str">
        <f>IF(wskakunin_owner2_JIMU_NAME="", "", wskakunin_owner2_JIMU_NAME)</f>
        <v/>
      </c>
      <c r="H94" s="19"/>
    </row>
    <row r="95" spans="1:8" ht="15" customHeight="1" x14ac:dyDescent="0.15">
      <c r="A95" s="85"/>
      <c r="B95" s="79" t="s">
        <v>98</v>
      </c>
      <c r="C95" s="18" t="s">
        <v>1410</v>
      </c>
      <c r="D95" s="155"/>
      <c r="E95" s="18" t="s">
        <v>2854</v>
      </c>
      <c r="F95" s="155" t="str">
        <f>IF(wskakunin_owner2_JIMU_NAME_KANA="","",wskakunin_owner2_JIMU_NAME_KANA)</f>
        <v/>
      </c>
      <c r="H95" s="19"/>
    </row>
    <row r="96" spans="1:8" ht="15" customHeight="1" x14ac:dyDescent="0.15">
      <c r="A96" s="85"/>
      <c r="B96" s="79" t="s">
        <v>31</v>
      </c>
      <c r="C96" s="18" t="s">
        <v>1411</v>
      </c>
      <c r="D96" s="155"/>
      <c r="E96" s="18" t="s">
        <v>1412</v>
      </c>
      <c r="F96" s="155" t="str">
        <f>IF(wskakunin_owner2_POST="", "", wskakunin_owner2_POST)</f>
        <v/>
      </c>
      <c r="H96" s="19"/>
    </row>
    <row r="97" spans="1:8" ht="15" customHeight="1" x14ac:dyDescent="0.15">
      <c r="A97" s="85"/>
      <c r="B97" s="79" t="s">
        <v>99</v>
      </c>
      <c r="C97" s="18" t="s">
        <v>1413</v>
      </c>
      <c r="D97" s="155"/>
      <c r="E97" s="18" t="s">
        <v>1414</v>
      </c>
      <c r="F97" s="155" t="str">
        <f>IF(wskakunin_owner2_POST_KANA="","",wskakunin_owner2_POST_KANA)</f>
        <v/>
      </c>
      <c r="H97" s="19"/>
    </row>
    <row r="98" spans="1:8" ht="15" customHeight="1" x14ac:dyDescent="0.15">
      <c r="A98" s="85"/>
      <c r="B98" s="79" t="s">
        <v>3</v>
      </c>
      <c r="C98" s="18" t="s">
        <v>1415</v>
      </c>
      <c r="D98" s="155"/>
      <c r="E98" s="18" t="s">
        <v>1416</v>
      </c>
      <c r="F98" s="155" t="str">
        <f>IF(wskakunin_owner2_NAME="", "", wskakunin_owner2_NAME)</f>
        <v/>
      </c>
      <c r="H98" s="19"/>
    </row>
    <row r="99" spans="1:8" ht="15" customHeight="1" x14ac:dyDescent="0.15">
      <c r="A99" s="52"/>
      <c r="B99" s="79" t="s">
        <v>100</v>
      </c>
      <c r="C99" s="18" t="s">
        <v>1417</v>
      </c>
      <c r="D99" s="155"/>
      <c r="E99" s="18" t="s">
        <v>1418</v>
      </c>
      <c r="F99" s="155" t="str">
        <f>IF(wskakunin_owner2_NAME_KANA="","",wskakunin_owner2_NAME_KANA)</f>
        <v/>
      </c>
      <c r="H99" s="19"/>
    </row>
    <row r="100" spans="1:8" ht="15" customHeight="1" x14ac:dyDescent="0.15">
      <c r="A100" s="52"/>
      <c r="B100" s="79" t="s">
        <v>8</v>
      </c>
      <c r="C100" s="18" t="s">
        <v>1419</v>
      </c>
      <c r="D100" s="241"/>
      <c r="E100" s="18" t="s">
        <v>1420</v>
      </c>
      <c r="F100" s="155" t="str">
        <f>IF(wskakunin_owner2_ZIP="", "", wskakunin_owner2_ZIP)</f>
        <v/>
      </c>
      <c r="H100" s="19"/>
    </row>
    <row r="101" spans="1:8" ht="15" customHeight="1" x14ac:dyDescent="0.15">
      <c r="A101" s="52"/>
      <c r="B101" s="79" t="s">
        <v>9</v>
      </c>
      <c r="C101" s="18" t="s">
        <v>1421</v>
      </c>
      <c r="D101" s="155"/>
      <c r="E101" s="18" t="s">
        <v>2855</v>
      </c>
      <c r="F101" s="155" t="str">
        <f>IF(wskakunin_owner2__address="", "", wskakunin_owner2__address)</f>
        <v/>
      </c>
      <c r="H101" s="19"/>
    </row>
    <row r="102" spans="1:8" ht="15" customHeight="1" x14ac:dyDescent="0.15">
      <c r="A102" s="52"/>
      <c r="B102" s="79" t="s">
        <v>10</v>
      </c>
      <c r="C102" s="18" t="s">
        <v>1422</v>
      </c>
      <c r="D102" s="241"/>
      <c r="E102" s="18" t="s">
        <v>1423</v>
      </c>
      <c r="F102" s="155" t="str">
        <f>IF(wskakunin_owner2_TEL="", "", wskakunin_owner2_TEL)</f>
        <v/>
      </c>
      <c r="H102" s="19"/>
    </row>
    <row r="103" spans="1:8" ht="15" customHeight="1" x14ac:dyDescent="0.15">
      <c r="A103" s="52"/>
      <c r="B103" s="76" t="s">
        <v>96</v>
      </c>
      <c r="E103" s="18" t="s">
        <v>2620</v>
      </c>
      <c r="F103" s="155" t="str">
        <f>IF(wskakunin_owner2_JIMU_NAME="",cst_wskakunin_owner2_NAME,IF(wskakunin_owner2_POST="",cst_wskakunin_owner2_NAME,cst_wskakunin_owner2_JIMU_NAME&amp;"　"&amp;cst_wskakunin_owner2_POST&amp;"　"&amp;cst_wskakunin_owner2_NAME))</f>
        <v/>
      </c>
      <c r="H103" s="19"/>
    </row>
    <row r="104" spans="1:8" ht="15" customHeight="1" x14ac:dyDescent="0.15">
      <c r="A104" s="228"/>
      <c r="B104" s="229" t="s">
        <v>95</v>
      </c>
      <c r="C104"/>
      <c r="D104" s="221"/>
      <c r="E104" s="18" t="s">
        <v>2634</v>
      </c>
      <c r="F104" s="155" t="str">
        <f>IF(wskakunin_owner2_POST&amp;wskakunin_owner2_NAME="","",IF(wskakunin_owner2_POST="",wskakunin_owner2_NAME,wskakunin_owner2_POST&amp;"　"&amp;wskakunin_owner2_NAME))</f>
        <v/>
      </c>
      <c r="H104" s="19"/>
    </row>
    <row r="105" spans="1:8" ht="24" x14ac:dyDescent="0.15">
      <c r="A105" s="228"/>
      <c r="B105" s="230" t="s">
        <v>94</v>
      </c>
      <c r="C105"/>
      <c r="D105" s="221"/>
      <c r="E105" s="18" t="s">
        <v>2636</v>
      </c>
      <c r="F105" s="248" t="str">
        <f>wskakunin_owner2_JIMU_NAME&amp;IF(wskakunin_owner2_JIMU_NAME="","",CHAR(10))&amp;cst_wskakunin_owner2__space2</f>
        <v/>
      </c>
      <c r="H105" s="19"/>
    </row>
    <row r="106" spans="1:8" ht="15" customHeight="1" x14ac:dyDescent="0.15">
      <c r="A106" s="52"/>
      <c r="B106" s="154"/>
      <c r="D106" s="36"/>
      <c r="F106" s="19"/>
      <c r="H106" s="19"/>
    </row>
    <row r="107" spans="1:8" ht="15" customHeight="1" x14ac:dyDescent="0.15">
      <c r="A107" s="48" t="s">
        <v>1402</v>
      </c>
      <c r="B107" s="51"/>
      <c r="H107" s="19"/>
    </row>
    <row r="108" spans="1:8" ht="15" customHeight="1" x14ac:dyDescent="0.15">
      <c r="A108" s="85"/>
      <c r="B108" s="79" t="s">
        <v>33</v>
      </c>
      <c r="C108" s="18" t="s">
        <v>1424</v>
      </c>
      <c r="D108" s="155"/>
      <c r="E108" s="18" t="s">
        <v>1425</v>
      </c>
      <c r="F108" s="155" t="str">
        <f>IF(wskakunin_owner3_JIMU_NAME="", "", wskakunin_owner3_JIMU_NAME)</f>
        <v/>
      </c>
      <c r="H108" s="19"/>
    </row>
    <row r="109" spans="1:8" ht="15" customHeight="1" x14ac:dyDescent="0.15">
      <c r="A109" s="85"/>
      <c r="B109" s="79" t="s">
        <v>98</v>
      </c>
      <c r="C109" s="18" t="s">
        <v>1426</v>
      </c>
      <c r="D109" s="155"/>
      <c r="E109" s="18" t="s">
        <v>1427</v>
      </c>
      <c r="F109" s="155" t="str">
        <f>IF(wskakunin_owner3_JIMU_NAME_KANA="","",wskakunin_owner3_JIMU_NAME_KANA)</f>
        <v/>
      </c>
      <c r="H109" s="19"/>
    </row>
    <row r="110" spans="1:8" ht="15" customHeight="1" x14ac:dyDescent="0.15">
      <c r="A110" s="85"/>
      <c r="B110" s="79" t="s">
        <v>31</v>
      </c>
      <c r="C110" s="18" t="s">
        <v>1428</v>
      </c>
      <c r="D110" s="155"/>
      <c r="E110" s="18" t="s">
        <v>1429</v>
      </c>
      <c r="F110" s="155" t="str">
        <f>IF(wskakunin_owner3_POST="", "", wskakunin_owner3_POST)</f>
        <v/>
      </c>
      <c r="H110" s="19"/>
    </row>
    <row r="111" spans="1:8" ht="15" customHeight="1" x14ac:dyDescent="0.15">
      <c r="A111" s="85"/>
      <c r="B111" s="79" t="s">
        <v>99</v>
      </c>
      <c r="C111" s="18" t="s">
        <v>1430</v>
      </c>
      <c r="D111" s="155"/>
      <c r="E111" s="18" t="s">
        <v>1431</v>
      </c>
      <c r="F111" s="155" t="str">
        <f>IF(wskakunin_owner3_POST_KANA="","",wskakunin_owner3_POST_KANA)</f>
        <v/>
      </c>
      <c r="H111" s="19"/>
    </row>
    <row r="112" spans="1:8" ht="15" customHeight="1" x14ac:dyDescent="0.15">
      <c r="A112" s="85"/>
      <c r="B112" s="79" t="s">
        <v>3</v>
      </c>
      <c r="C112" s="18" t="s">
        <v>1432</v>
      </c>
      <c r="D112" s="155"/>
      <c r="E112" s="18" t="s">
        <v>1433</v>
      </c>
      <c r="F112" s="155" t="str">
        <f>IF(wskakunin_owner3_NAME="", "", wskakunin_owner3_NAME)</f>
        <v/>
      </c>
      <c r="H112" s="19"/>
    </row>
    <row r="113" spans="1:8" ht="15" customHeight="1" x14ac:dyDescent="0.15">
      <c r="A113" s="52"/>
      <c r="B113" s="79" t="s">
        <v>100</v>
      </c>
      <c r="C113" s="18" t="s">
        <v>1434</v>
      </c>
      <c r="D113" s="155"/>
      <c r="E113" s="18" t="s">
        <v>1435</v>
      </c>
      <c r="F113" s="155" t="str">
        <f>IF(wskakunin_owner3_NAME_KANA="","",wskakunin_owner3_NAME_KANA)</f>
        <v/>
      </c>
      <c r="H113" s="19"/>
    </row>
    <row r="114" spans="1:8" ht="15" customHeight="1" x14ac:dyDescent="0.15">
      <c r="A114" s="52"/>
      <c r="B114" s="79" t="s">
        <v>8</v>
      </c>
      <c r="C114" s="18" t="s">
        <v>1436</v>
      </c>
      <c r="D114" s="241"/>
      <c r="E114" s="18" t="s">
        <v>1437</v>
      </c>
      <c r="F114" s="155" t="str">
        <f>IF(wskakunin_owner3_ZIP="", "", wskakunin_owner3_ZIP)</f>
        <v/>
      </c>
      <c r="H114" s="19"/>
    </row>
    <row r="115" spans="1:8" ht="15" customHeight="1" x14ac:dyDescent="0.15">
      <c r="A115" s="52"/>
      <c r="B115" s="79" t="s">
        <v>9</v>
      </c>
      <c r="C115" s="18" t="s">
        <v>1438</v>
      </c>
      <c r="D115" s="155"/>
      <c r="E115" s="18" t="s">
        <v>1439</v>
      </c>
      <c r="F115" s="155" t="str">
        <f>IF(wskakunin_owner3__address="", "", wskakunin_owner3__address)</f>
        <v/>
      </c>
      <c r="H115" s="19"/>
    </row>
    <row r="116" spans="1:8" ht="15" customHeight="1" x14ac:dyDescent="0.15">
      <c r="A116" s="52"/>
      <c r="B116" s="79" t="s">
        <v>10</v>
      </c>
      <c r="C116" s="18" t="s">
        <v>1440</v>
      </c>
      <c r="D116" s="241"/>
      <c r="E116" s="18" t="s">
        <v>1441</v>
      </c>
      <c r="F116" s="155" t="str">
        <f>IF(wskakunin_owner3_TEL="", "", wskakunin_owner3_TEL)</f>
        <v/>
      </c>
      <c r="H116" s="19"/>
    </row>
    <row r="117" spans="1:8" ht="15" customHeight="1" x14ac:dyDescent="0.15">
      <c r="A117" s="52"/>
      <c r="B117" s="76" t="s">
        <v>96</v>
      </c>
      <c r="E117" s="18" t="s">
        <v>2621</v>
      </c>
      <c r="F117" s="155" t="str">
        <f>IF(wskakunin_owner3_JIMU_NAME="",cst_wskakunin_owner3_NAME,IF(wskakunin_owner3_POST="",cst_wskakunin_owner3_NAME,cst_wskakunin_owner3_JIMU_NAME&amp;"　"&amp;cst_wskakunin_owner3_POST&amp;"　"&amp;cst_wskakunin_owner3_NAME))</f>
        <v/>
      </c>
      <c r="H117" s="19"/>
    </row>
    <row r="118" spans="1:8" ht="15" customHeight="1" x14ac:dyDescent="0.15">
      <c r="A118" s="228"/>
      <c r="B118" s="277"/>
      <c r="E118" s="18" t="s">
        <v>2760</v>
      </c>
      <c r="F118" s="155" t="str">
        <f>IF(wskakunin_owner3_POST&amp;wskakunin_owner3_NAME="","",IF(wskakunin_owner3_POST="",wskakunin_owner3_NAME,wskakunin_owner3_POST&amp;"　"&amp;wskakunin_owner3_NAME))</f>
        <v/>
      </c>
      <c r="H118" s="19"/>
    </row>
    <row r="119" spans="1:8" ht="15" customHeight="1" x14ac:dyDescent="0.15">
      <c r="A119" s="52"/>
      <c r="B119" s="154"/>
      <c r="D119" s="36"/>
      <c r="F119" s="19"/>
      <c r="H119" s="19"/>
    </row>
    <row r="120" spans="1:8" ht="15" customHeight="1" x14ac:dyDescent="0.15">
      <c r="A120" s="48" t="s">
        <v>1403</v>
      </c>
      <c r="B120" s="51"/>
      <c r="H120" s="19"/>
    </row>
    <row r="121" spans="1:8" ht="15" customHeight="1" x14ac:dyDescent="0.15">
      <c r="A121" s="85"/>
      <c r="B121" s="79" t="s">
        <v>33</v>
      </c>
      <c r="C121" s="18" t="s">
        <v>1442</v>
      </c>
      <c r="D121" s="155"/>
      <c r="E121" s="18" t="s">
        <v>1443</v>
      </c>
      <c r="F121" s="155" t="str">
        <f>IF(wskakunin_owner4_JIMU_NAME="", "", wskakunin_owner4_JIMU_NAME)</f>
        <v/>
      </c>
      <c r="H121" s="19"/>
    </row>
    <row r="122" spans="1:8" ht="15" customHeight="1" x14ac:dyDescent="0.15">
      <c r="A122" s="85"/>
      <c r="B122" s="79" t="s">
        <v>98</v>
      </c>
      <c r="C122" s="18" t="s">
        <v>1444</v>
      </c>
      <c r="D122" s="155"/>
      <c r="E122" s="18" t="s">
        <v>1445</v>
      </c>
      <c r="F122" s="155" t="str">
        <f>IF(wskakunin_owner4_JIMU_NAME_KANA="","",wskakunin_owner4_JIMU_NAME_KANA)</f>
        <v/>
      </c>
      <c r="H122" s="19"/>
    </row>
    <row r="123" spans="1:8" ht="15" customHeight="1" x14ac:dyDescent="0.15">
      <c r="A123" s="85"/>
      <c r="B123" s="79" t="s">
        <v>31</v>
      </c>
      <c r="C123" s="18" t="s">
        <v>1446</v>
      </c>
      <c r="D123" s="155"/>
      <c r="E123" s="18" t="s">
        <v>1447</v>
      </c>
      <c r="F123" s="155" t="str">
        <f>IF(wskakunin_owner4_POST="", "", wskakunin_owner4_POST)</f>
        <v/>
      </c>
      <c r="H123" s="19"/>
    </row>
    <row r="124" spans="1:8" ht="15" customHeight="1" x14ac:dyDescent="0.15">
      <c r="A124" s="85"/>
      <c r="B124" s="79" t="s">
        <v>99</v>
      </c>
      <c r="C124" s="18" t="s">
        <v>1448</v>
      </c>
      <c r="D124" s="155"/>
      <c r="E124" s="18" t="s">
        <v>1449</v>
      </c>
      <c r="F124" s="155" t="str">
        <f>IF(wskakunin_owner4_POST_KANA="","",wskakunin_owner4_POST_KANA)</f>
        <v/>
      </c>
      <c r="H124" s="19"/>
    </row>
    <row r="125" spans="1:8" ht="15" customHeight="1" x14ac:dyDescent="0.15">
      <c r="A125" s="85"/>
      <c r="B125" s="79" t="s">
        <v>3</v>
      </c>
      <c r="C125" s="18" t="s">
        <v>1450</v>
      </c>
      <c r="D125" s="155"/>
      <c r="E125" s="18" t="s">
        <v>1451</v>
      </c>
      <c r="F125" s="155" t="str">
        <f>IF(wskakunin_owner4_NAME="", "", wskakunin_owner4_NAME)</f>
        <v/>
      </c>
      <c r="H125" s="19"/>
    </row>
    <row r="126" spans="1:8" ht="15" customHeight="1" x14ac:dyDescent="0.15">
      <c r="A126" s="52"/>
      <c r="B126" s="79" t="s">
        <v>100</v>
      </c>
      <c r="C126" s="18" t="s">
        <v>1452</v>
      </c>
      <c r="D126" s="155"/>
      <c r="E126" s="18" t="s">
        <v>1453</v>
      </c>
      <c r="F126" s="155" t="str">
        <f>IF(wskakunin_owner4_NAME_KANA="","",wskakunin_owner4_NAME_KANA)</f>
        <v/>
      </c>
      <c r="H126" s="19"/>
    </row>
    <row r="127" spans="1:8" ht="15" customHeight="1" x14ac:dyDescent="0.15">
      <c r="A127" s="52"/>
      <c r="B127" s="79" t="s">
        <v>8</v>
      </c>
      <c r="C127" s="18" t="s">
        <v>1454</v>
      </c>
      <c r="D127" s="241"/>
      <c r="E127" s="18" t="s">
        <v>1455</v>
      </c>
      <c r="F127" s="155" t="str">
        <f>IF(wskakunin_owner4_ZIP="", "", wskakunin_owner4_ZIP)</f>
        <v/>
      </c>
      <c r="H127" s="19"/>
    </row>
    <row r="128" spans="1:8" ht="15" customHeight="1" x14ac:dyDescent="0.15">
      <c r="A128" s="52"/>
      <c r="B128" s="79" t="s">
        <v>9</v>
      </c>
      <c r="C128" s="18" t="s">
        <v>1456</v>
      </c>
      <c r="D128" s="155"/>
      <c r="E128" s="18" t="s">
        <v>1457</v>
      </c>
      <c r="F128" s="155" t="str">
        <f>IF(wskakunin_owner4__address="", "", wskakunin_owner4__address)</f>
        <v/>
      </c>
      <c r="H128" s="19"/>
    </row>
    <row r="129" spans="1:8" ht="15" customHeight="1" x14ac:dyDescent="0.15">
      <c r="A129" s="52"/>
      <c r="B129" s="79" t="s">
        <v>10</v>
      </c>
      <c r="C129" s="18" t="s">
        <v>1458</v>
      </c>
      <c r="D129" s="241"/>
      <c r="E129" s="18" t="s">
        <v>1459</v>
      </c>
      <c r="F129" s="155" t="str">
        <f>IF(wskakunin_owner4_TEL="", "", wskakunin_owner4_TEL)</f>
        <v/>
      </c>
      <c r="H129" s="19"/>
    </row>
    <row r="130" spans="1:8" ht="15" customHeight="1" x14ac:dyDescent="0.15">
      <c r="A130" s="52"/>
      <c r="B130" s="76" t="s">
        <v>96</v>
      </c>
      <c r="D130" s="36"/>
      <c r="E130" s="18" t="s">
        <v>2622</v>
      </c>
      <c r="F130" s="155" t="str">
        <f>IF(wskakunin_owner4_JIMU_NAME="",cst_wskakunin_owner4_NAME,IF(wskakunin_owner4_POST="",cst_wskakunin_owner4_NAME,cst_wskakunin_owner4_JIMU_NAME&amp;"　"&amp;cst_wskakunin_owner4_POST&amp;"　"&amp;cst_wskakunin_owner4_NAME))</f>
        <v/>
      </c>
      <c r="H130" s="19"/>
    </row>
    <row r="131" spans="1:8" ht="15" customHeight="1" x14ac:dyDescent="0.15">
      <c r="A131" s="52"/>
      <c r="B131" s="154"/>
      <c r="D131" s="36"/>
      <c r="F131" s="19"/>
      <c r="H131" s="19"/>
    </row>
    <row r="132" spans="1:8" ht="15" customHeight="1" x14ac:dyDescent="0.15">
      <c r="A132" s="48" t="s">
        <v>1404</v>
      </c>
      <c r="B132" s="51"/>
      <c r="H132" s="19"/>
    </row>
    <row r="133" spans="1:8" ht="15" customHeight="1" x14ac:dyDescent="0.15">
      <c r="A133" s="85"/>
      <c r="B133" s="79" t="s">
        <v>33</v>
      </c>
      <c r="C133" s="18" t="s">
        <v>1460</v>
      </c>
      <c r="D133" s="155"/>
      <c r="E133" s="18" t="s">
        <v>1461</v>
      </c>
      <c r="F133" s="155" t="str">
        <f>IF(wskakunin_owner5_JIMU_NAME="", "", wskakunin_owner5_JIMU_NAME)</f>
        <v/>
      </c>
      <c r="H133" s="19"/>
    </row>
    <row r="134" spans="1:8" ht="15" customHeight="1" x14ac:dyDescent="0.15">
      <c r="A134" s="85"/>
      <c r="B134" s="79" t="s">
        <v>98</v>
      </c>
      <c r="C134" s="18" t="s">
        <v>1462</v>
      </c>
      <c r="D134" s="155"/>
      <c r="E134" s="18" t="s">
        <v>1463</v>
      </c>
      <c r="F134" s="155" t="str">
        <f>IF(wskakunin_owner5_JIMU_NAME_KANA="","",wskakunin_owner5_JIMU_NAME_KANA)</f>
        <v/>
      </c>
      <c r="H134" s="19"/>
    </row>
    <row r="135" spans="1:8" ht="15" customHeight="1" x14ac:dyDescent="0.15">
      <c r="A135" s="85"/>
      <c r="B135" s="79" t="s">
        <v>31</v>
      </c>
      <c r="C135" s="18" t="s">
        <v>1464</v>
      </c>
      <c r="D135" s="155"/>
      <c r="E135" s="18" t="s">
        <v>1465</v>
      </c>
      <c r="F135" s="155" t="str">
        <f>IF(wskakunin_owner5_POST="", "", wskakunin_owner5_POST)</f>
        <v/>
      </c>
      <c r="H135" s="19"/>
    </row>
    <row r="136" spans="1:8" ht="15" customHeight="1" x14ac:dyDescent="0.15">
      <c r="A136" s="85"/>
      <c r="B136" s="79" t="s">
        <v>99</v>
      </c>
      <c r="C136" s="18" t="s">
        <v>1466</v>
      </c>
      <c r="D136" s="155"/>
      <c r="E136" s="18" t="s">
        <v>1467</v>
      </c>
      <c r="F136" s="155" t="str">
        <f>IF(wskakunin_owner5_POST_KANA="","",wskakunin_owner5_POST_KANA)</f>
        <v/>
      </c>
      <c r="H136" s="19"/>
    </row>
    <row r="137" spans="1:8" ht="15" customHeight="1" x14ac:dyDescent="0.15">
      <c r="A137" s="85"/>
      <c r="B137" s="79" t="s">
        <v>3</v>
      </c>
      <c r="C137" s="18" t="s">
        <v>1468</v>
      </c>
      <c r="D137" s="155"/>
      <c r="E137" s="18" t="s">
        <v>1469</v>
      </c>
      <c r="F137" s="155" t="str">
        <f>IF(wskakunin_owner5_NAME="", "", wskakunin_owner5_NAME)</f>
        <v/>
      </c>
      <c r="H137" s="19"/>
    </row>
    <row r="138" spans="1:8" ht="15" customHeight="1" x14ac:dyDescent="0.15">
      <c r="A138" s="52"/>
      <c r="B138" s="79" t="s">
        <v>100</v>
      </c>
      <c r="C138" s="18" t="s">
        <v>1470</v>
      </c>
      <c r="D138" s="155"/>
      <c r="E138" s="18" t="s">
        <v>1471</v>
      </c>
      <c r="F138" s="155" t="str">
        <f>IF(wskakunin_owner5_NAME_KANA="","",wskakunin_owner5_NAME_KANA)</f>
        <v/>
      </c>
      <c r="H138" s="19"/>
    </row>
    <row r="139" spans="1:8" ht="15" customHeight="1" x14ac:dyDescent="0.15">
      <c r="A139" s="52"/>
      <c r="B139" s="79" t="s">
        <v>8</v>
      </c>
      <c r="C139" s="18" t="s">
        <v>1472</v>
      </c>
      <c r="D139" s="241"/>
      <c r="E139" s="18" t="s">
        <v>1473</v>
      </c>
      <c r="F139" s="155" t="str">
        <f>IF(wskakunin_owner5_ZIP="", "", wskakunin_owner5_ZIP)</f>
        <v/>
      </c>
      <c r="H139" s="19"/>
    </row>
    <row r="140" spans="1:8" ht="15" customHeight="1" x14ac:dyDescent="0.15">
      <c r="A140" s="52"/>
      <c r="B140" s="79" t="s">
        <v>9</v>
      </c>
      <c r="C140" s="18" t="s">
        <v>1474</v>
      </c>
      <c r="D140" s="155"/>
      <c r="E140" s="18" t="s">
        <v>1475</v>
      </c>
      <c r="F140" s="155" t="str">
        <f>IF(wskakunin_owner5__address="", "", wskakunin_owner5__address)</f>
        <v/>
      </c>
      <c r="H140" s="19"/>
    </row>
    <row r="141" spans="1:8" ht="15" customHeight="1" x14ac:dyDescent="0.15">
      <c r="A141" s="52"/>
      <c r="B141" s="79" t="s">
        <v>10</v>
      </c>
      <c r="C141" s="18" t="s">
        <v>1476</v>
      </c>
      <c r="D141" s="241"/>
      <c r="E141" s="18" t="s">
        <v>1477</v>
      </c>
      <c r="F141" s="155" t="str">
        <f>IF(wskakunin_owner5_TEL="", "", wskakunin_owner5_TEL)</f>
        <v/>
      </c>
      <c r="H141" s="19"/>
    </row>
    <row r="142" spans="1:8" ht="15" customHeight="1" x14ac:dyDescent="0.15">
      <c r="A142" s="52"/>
      <c r="B142" s="76" t="s">
        <v>96</v>
      </c>
      <c r="D142" s="36"/>
      <c r="E142" s="18" t="s">
        <v>2623</v>
      </c>
      <c r="F142" s="155" t="str">
        <f>IF(wskakunin_owner5_JIMU_NAME="",cst_wskakunin_owner5_NAME,IF(wskakunin_owner5_POST="",cst_wskakunin_owner5_NAME,cst_wskakunin_owner5_JIMU_NAME&amp;"　"&amp;cst_wskakunin_owner5_POST&amp;"　"&amp;cst_wskakunin_owner5_NAME))</f>
        <v/>
      </c>
      <c r="H142" s="19"/>
    </row>
    <row r="143" spans="1:8" ht="15" customHeight="1" x14ac:dyDescent="0.15">
      <c r="A143" s="52"/>
      <c r="B143" s="154"/>
      <c r="D143" s="36"/>
      <c r="F143" s="19"/>
      <c r="H143" s="19"/>
    </row>
    <row r="144" spans="1:8" ht="15" customHeight="1" x14ac:dyDescent="0.15">
      <c r="A144" s="48" t="s">
        <v>1405</v>
      </c>
      <c r="B144" s="51"/>
      <c r="H144" s="19"/>
    </row>
    <row r="145" spans="1:8" ht="15" customHeight="1" x14ac:dyDescent="0.15">
      <c r="A145" s="85"/>
      <c r="B145" s="79" t="s">
        <v>33</v>
      </c>
      <c r="C145" s="18" t="s">
        <v>1478</v>
      </c>
      <c r="D145" s="155"/>
      <c r="E145" s="18" t="s">
        <v>1479</v>
      </c>
      <c r="F145" s="155" t="str">
        <f>IF(wskakunin_owner6_JIMU_NAME="", "", wskakunin_owner6_JIMU_NAME)</f>
        <v/>
      </c>
      <c r="H145" s="19"/>
    </row>
    <row r="146" spans="1:8" ht="15" customHeight="1" x14ac:dyDescent="0.15">
      <c r="A146" s="85"/>
      <c r="B146" s="79" t="s">
        <v>98</v>
      </c>
      <c r="C146" s="18" t="s">
        <v>1480</v>
      </c>
      <c r="D146" s="155"/>
      <c r="E146" s="18" t="s">
        <v>1481</v>
      </c>
      <c r="F146" s="155" t="str">
        <f>IF(wskakunin_owner6_JIMU_NAME_KANA="","",wskakunin_owner6_JIMU_NAME_KANA)</f>
        <v/>
      </c>
      <c r="H146" s="19"/>
    </row>
    <row r="147" spans="1:8" ht="15" customHeight="1" x14ac:dyDescent="0.15">
      <c r="A147" s="85"/>
      <c r="B147" s="79" t="s">
        <v>31</v>
      </c>
      <c r="C147" s="18" t="s">
        <v>1482</v>
      </c>
      <c r="D147" s="155"/>
      <c r="E147" s="18" t="s">
        <v>1483</v>
      </c>
      <c r="F147" s="155" t="str">
        <f>IF(wskakunin_owner6_POST="", "", wskakunin_owner6_POST)</f>
        <v/>
      </c>
      <c r="H147" s="19"/>
    </row>
    <row r="148" spans="1:8" ht="15" customHeight="1" x14ac:dyDescent="0.15">
      <c r="A148" s="85"/>
      <c r="B148" s="79" t="s">
        <v>99</v>
      </c>
      <c r="C148" s="18" t="s">
        <v>1484</v>
      </c>
      <c r="D148" s="155"/>
      <c r="E148" s="18" t="s">
        <v>1485</v>
      </c>
      <c r="F148" s="155" t="str">
        <f>IF(wskakunin_owner6_POST_KANA="","",wskakunin_owner6_POST_KANA)</f>
        <v/>
      </c>
      <c r="H148" s="19"/>
    </row>
    <row r="149" spans="1:8" ht="15" customHeight="1" x14ac:dyDescent="0.15">
      <c r="A149" s="85"/>
      <c r="B149" s="79" t="s">
        <v>3</v>
      </c>
      <c r="C149" s="18" t="s">
        <v>1486</v>
      </c>
      <c r="D149" s="155"/>
      <c r="E149" s="18" t="s">
        <v>1487</v>
      </c>
      <c r="F149" s="155" t="str">
        <f>IF(wskakunin_owner6_NAME="", "", wskakunin_owner6_NAME)</f>
        <v/>
      </c>
      <c r="H149" s="19"/>
    </row>
    <row r="150" spans="1:8" ht="15" customHeight="1" x14ac:dyDescent="0.15">
      <c r="A150" s="52"/>
      <c r="B150" s="79" t="s">
        <v>100</v>
      </c>
      <c r="C150" s="18" t="s">
        <v>1488</v>
      </c>
      <c r="D150" s="155"/>
      <c r="E150" s="18" t="s">
        <v>1489</v>
      </c>
      <c r="F150" s="155" t="str">
        <f>IF(wskakunin_owner6_NAME_KANA="","",wskakunin_owner6_NAME_KANA)</f>
        <v/>
      </c>
      <c r="H150" s="19"/>
    </row>
    <row r="151" spans="1:8" ht="15" customHeight="1" x14ac:dyDescent="0.15">
      <c r="A151" s="52"/>
      <c r="B151" s="79" t="s">
        <v>8</v>
      </c>
      <c r="C151" s="18" t="s">
        <v>1490</v>
      </c>
      <c r="D151" s="241"/>
      <c r="E151" s="18" t="s">
        <v>1491</v>
      </c>
      <c r="F151" s="155" t="str">
        <f>IF(wskakunin_owner6_ZIP="", "", wskakunin_owner6_ZIP)</f>
        <v/>
      </c>
      <c r="H151" s="19"/>
    </row>
    <row r="152" spans="1:8" ht="15" customHeight="1" x14ac:dyDescent="0.15">
      <c r="A152" s="52"/>
      <c r="B152" s="79" t="s">
        <v>9</v>
      </c>
      <c r="C152" s="18" t="s">
        <v>1492</v>
      </c>
      <c r="D152" s="155"/>
      <c r="E152" s="18" t="s">
        <v>1493</v>
      </c>
      <c r="F152" s="155" t="str">
        <f>IF(wskakunin_owner6__address="", "", wskakunin_owner6__address)</f>
        <v/>
      </c>
      <c r="H152" s="19"/>
    </row>
    <row r="153" spans="1:8" ht="15" customHeight="1" x14ac:dyDescent="0.15">
      <c r="A153" s="52"/>
      <c r="B153" s="79" t="s">
        <v>10</v>
      </c>
      <c r="C153" s="18" t="s">
        <v>1494</v>
      </c>
      <c r="D153" s="241"/>
      <c r="E153" s="18" t="s">
        <v>1495</v>
      </c>
      <c r="F153" s="155" t="str">
        <f>IF(wskakunin_owner6_TEL="", "", wskakunin_owner6_TEL)</f>
        <v/>
      </c>
      <c r="H153" s="19"/>
    </row>
    <row r="154" spans="1:8" ht="15" customHeight="1" x14ac:dyDescent="0.15">
      <c r="A154" s="52"/>
      <c r="B154" s="79" t="s">
        <v>94</v>
      </c>
      <c r="E154" s="18" t="s">
        <v>2624</v>
      </c>
      <c r="F154" s="155" t="str">
        <f>wskakunin_owner6_JIMU_NAME&amp;IF(wskakunin_owner6_JIMU_NAME="","",CHAR(10))&amp;cst_wskakunin_owner6__space2</f>
        <v/>
      </c>
      <c r="H154" s="19"/>
    </row>
    <row r="155" spans="1:8" ht="15" customHeight="1" x14ac:dyDescent="0.15">
      <c r="A155" s="52"/>
      <c r="B155" s="154"/>
      <c r="D155" s="36"/>
      <c r="F155" s="19"/>
      <c r="H155" s="19"/>
    </row>
    <row r="156" spans="1:8" ht="15" customHeight="1" x14ac:dyDescent="0.15">
      <c r="A156" s="48" t="s">
        <v>1406</v>
      </c>
      <c r="B156" s="51"/>
      <c r="H156" s="19"/>
    </row>
    <row r="157" spans="1:8" ht="15" customHeight="1" x14ac:dyDescent="0.15">
      <c r="A157" s="85"/>
      <c r="B157" s="79" t="s">
        <v>33</v>
      </c>
      <c r="C157" s="18" t="s">
        <v>1496</v>
      </c>
      <c r="D157" s="155"/>
      <c r="E157" s="18" t="s">
        <v>1497</v>
      </c>
      <c r="F157" s="155" t="str">
        <f>IF(wskakunin_owner7_JIMU_NAME="", "", wskakunin_owner7_JIMU_NAME)</f>
        <v/>
      </c>
      <c r="H157" s="19"/>
    </row>
    <row r="158" spans="1:8" ht="15" customHeight="1" x14ac:dyDescent="0.15">
      <c r="A158" s="85"/>
      <c r="B158" s="79" t="s">
        <v>98</v>
      </c>
      <c r="C158" s="18" t="s">
        <v>1498</v>
      </c>
      <c r="D158" s="155"/>
      <c r="E158" s="18" t="s">
        <v>1499</v>
      </c>
      <c r="F158" s="155" t="str">
        <f>IF(wskakunin_owner7_JIMU_NAME_KANA="","",wskakunin_owner7_JIMU_NAME_KANA)</f>
        <v/>
      </c>
      <c r="H158" s="19"/>
    </row>
    <row r="159" spans="1:8" ht="15" customHeight="1" x14ac:dyDescent="0.15">
      <c r="A159" s="85"/>
      <c r="B159" s="79" t="s">
        <v>31</v>
      </c>
      <c r="C159" s="18" t="s">
        <v>1500</v>
      </c>
      <c r="D159" s="155"/>
      <c r="E159" s="18" t="s">
        <v>1501</v>
      </c>
      <c r="F159" s="155" t="str">
        <f>IF(wskakunin_owner7_POST="", "", wskakunin_owner7_POST)</f>
        <v/>
      </c>
      <c r="H159" s="19"/>
    </row>
    <row r="160" spans="1:8" ht="15" customHeight="1" x14ac:dyDescent="0.15">
      <c r="A160" s="85"/>
      <c r="B160" s="79" t="s">
        <v>99</v>
      </c>
      <c r="C160" s="18" t="s">
        <v>1502</v>
      </c>
      <c r="D160" s="155"/>
      <c r="E160" s="18" t="s">
        <v>1503</v>
      </c>
      <c r="F160" s="155" t="str">
        <f>IF(wskakunin_owner7_POST_KANA="","",wskakunin_owner7_POST_KANA)</f>
        <v/>
      </c>
      <c r="H160" s="19"/>
    </row>
    <row r="161" spans="1:8" ht="15" customHeight="1" x14ac:dyDescent="0.15">
      <c r="A161" s="85"/>
      <c r="B161" s="79" t="s">
        <v>3</v>
      </c>
      <c r="C161" s="18" t="s">
        <v>1504</v>
      </c>
      <c r="D161" s="155"/>
      <c r="E161" s="18" t="s">
        <v>1505</v>
      </c>
      <c r="F161" s="155" t="str">
        <f>IF(wskakunin_owner7_NAME="", "", wskakunin_owner7_NAME)</f>
        <v/>
      </c>
      <c r="H161" s="19"/>
    </row>
    <row r="162" spans="1:8" ht="15" customHeight="1" x14ac:dyDescent="0.15">
      <c r="A162" s="52"/>
      <c r="B162" s="79" t="s">
        <v>100</v>
      </c>
      <c r="C162" s="18" t="s">
        <v>1506</v>
      </c>
      <c r="D162" s="155"/>
      <c r="E162" s="18" t="s">
        <v>1507</v>
      </c>
      <c r="F162" s="155" t="str">
        <f>IF(wskakunin_owner7_NAME_KANA="","",wskakunin_owner7_NAME_KANA)</f>
        <v/>
      </c>
      <c r="H162" s="19"/>
    </row>
    <row r="163" spans="1:8" ht="15" customHeight="1" x14ac:dyDescent="0.15">
      <c r="A163" s="52"/>
      <c r="B163" s="79" t="s">
        <v>8</v>
      </c>
      <c r="C163" s="18" t="s">
        <v>1508</v>
      </c>
      <c r="D163" s="241"/>
      <c r="E163" s="18" t="s">
        <v>1509</v>
      </c>
      <c r="F163" s="155" t="str">
        <f>IF(wskakunin_owner7_ZIP="", "", wskakunin_owner7_ZIP)</f>
        <v/>
      </c>
      <c r="H163" s="19"/>
    </row>
    <row r="164" spans="1:8" ht="15" customHeight="1" x14ac:dyDescent="0.15">
      <c r="A164" s="52"/>
      <c r="B164" s="79" t="s">
        <v>9</v>
      </c>
      <c r="C164" s="18" t="s">
        <v>1510</v>
      </c>
      <c r="D164" s="155"/>
      <c r="E164" s="18" t="s">
        <v>1511</v>
      </c>
      <c r="F164" s="155" t="str">
        <f>IF(wskakunin_owner7__address="", "", wskakunin_owner7__address)</f>
        <v/>
      </c>
      <c r="H164" s="19"/>
    </row>
    <row r="165" spans="1:8" ht="15" customHeight="1" x14ac:dyDescent="0.15">
      <c r="A165" s="52"/>
      <c r="B165" s="79" t="s">
        <v>10</v>
      </c>
      <c r="C165" s="18" t="s">
        <v>1512</v>
      </c>
      <c r="D165" s="241"/>
      <c r="E165" s="18" t="s">
        <v>1513</v>
      </c>
      <c r="F165" s="155" t="str">
        <f>IF(wskakunin_owner7_TEL="", "", wskakunin_owner7_TEL)</f>
        <v/>
      </c>
      <c r="H165" s="19"/>
    </row>
    <row r="166" spans="1:8" ht="15" customHeight="1" x14ac:dyDescent="0.15">
      <c r="A166" s="52"/>
      <c r="B166" s="154"/>
      <c r="D166" s="36"/>
      <c r="F166" s="19"/>
      <c r="H166" s="19"/>
    </row>
    <row r="167" spans="1:8" ht="15" customHeight="1" x14ac:dyDescent="0.15">
      <c r="A167" s="48" t="s">
        <v>1407</v>
      </c>
      <c r="B167" s="51"/>
      <c r="H167" s="19"/>
    </row>
    <row r="168" spans="1:8" ht="15" customHeight="1" x14ac:dyDescent="0.15">
      <c r="A168" s="85"/>
      <c r="B168" s="79" t="s">
        <v>33</v>
      </c>
      <c r="C168" s="18" t="s">
        <v>1514</v>
      </c>
      <c r="D168" s="155"/>
      <c r="E168" s="18" t="s">
        <v>1515</v>
      </c>
      <c r="F168" s="155" t="str">
        <f>IF(wskakunin_owner8_JIMU_NAME="", "", wskakunin_owner8_JIMU_NAME)</f>
        <v/>
      </c>
      <c r="H168" s="19"/>
    </row>
    <row r="169" spans="1:8" ht="15" customHeight="1" x14ac:dyDescent="0.15">
      <c r="A169" s="85"/>
      <c r="B169" s="79" t="s">
        <v>98</v>
      </c>
      <c r="C169" s="18" t="s">
        <v>1516</v>
      </c>
      <c r="D169" s="155"/>
      <c r="E169" s="18" t="s">
        <v>1517</v>
      </c>
      <c r="F169" s="155" t="str">
        <f>IF(wskakunin_owner8_JIMU_NAME_KANA="","",wskakunin_owner8_JIMU_NAME_KANA)</f>
        <v/>
      </c>
      <c r="H169" s="19"/>
    </row>
    <row r="170" spans="1:8" ht="15" customHeight="1" x14ac:dyDescent="0.15">
      <c r="A170" s="85"/>
      <c r="B170" s="79" t="s">
        <v>31</v>
      </c>
      <c r="C170" s="18" t="s">
        <v>1518</v>
      </c>
      <c r="D170" s="155"/>
      <c r="E170" s="18" t="s">
        <v>1519</v>
      </c>
      <c r="F170" s="155" t="str">
        <f>IF(wskakunin_owner8_POST="", "", wskakunin_owner8_POST)</f>
        <v/>
      </c>
      <c r="H170" s="19"/>
    </row>
    <row r="171" spans="1:8" ht="15" customHeight="1" x14ac:dyDescent="0.15">
      <c r="A171" s="85"/>
      <c r="B171" s="79" t="s">
        <v>99</v>
      </c>
      <c r="C171" s="18" t="s">
        <v>1520</v>
      </c>
      <c r="D171" s="155"/>
      <c r="E171" s="18" t="s">
        <v>1521</v>
      </c>
      <c r="F171" s="155" t="str">
        <f>IF(wskakunin_owner8_POST_KANA="","",wskakunin_owner8_POST_KANA)</f>
        <v/>
      </c>
      <c r="H171" s="19"/>
    </row>
    <row r="172" spans="1:8" ht="15" customHeight="1" x14ac:dyDescent="0.15">
      <c r="A172" s="85"/>
      <c r="B172" s="79" t="s">
        <v>3</v>
      </c>
      <c r="C172" s="18" t="s">
        <v>1522</v>
      </c>
      <c r="D172" s="155"/>
      <c r="E172" s="18" t="s">
        <v>1523</v>
      </c>
      <c r="F172" s="155" t="str">
        <f>IF(wskakunin_owner8_NAME="", "", wskakunin_owner8_NAME)</f>
        <v/>
      </c>
      <c r="H172" s="19"/>
    </row>
    <row r="173" spans="1:8" ht="15" customHeight="1" x14ac:dyDescent="0.15">
      <c r="A173" s="52"/>
      <c r="B173" s="79" t="s">
        <v>100</v>
      </c>
      <c r="C173" s="18" t="s">
        <v>1524</v>
      </c>
      <c r="D173" s="155"/>
      <c r="E173" s="18" t="s">
        <v>1525</v>
      </c>
      <c r="F173" s="155" t="str">
        <f>IF(wskakunin_owner8_NAME_KANA="","",wskakunin_owner8_NAME_KANA)</f>
        <v/>
      </c>
      <c r="H173" s="19"/>
    </row>
    <row r="174" spans="1:8" ht="15" customHeight="1" x14ac:dyDescent="0.15">
      <c r="A174" s="52"/>
      <c r="B174" s="79" t="s">
        <v>8</v>
      </c>
      <c r="C174" s="18" t="s">
        <v>1526</v>
      </c>
      <c r="D174" s="241"/>
      <c r="E174" s="18" t="s">
        <v>1527</v>
      </c>
      <c r="F174" s="155" t="str">
        <f>IF(wskakunin_owner8_ZIP="", "", wskakunin_owner8_ZIP)</f>
        <v/>
      </c>
      <c r="H174" s="19"/>
    </row>
    <row r="175" spans="1:8" ht="15" customHeight="1" x14ac:dyDescent="0.15">
      <c r="A175" s="52"/>
      <c r="B175" s="79" t="s">
        <v>9</v>
      </c>
      <c r="C175" s="18" t="s">
        <v>1528</v>
      </c>
      <c r="D175" s="155"/>
      <c r="E175" s="18" t="s">
        <v>1529</v>
      </c>
      <c r="F175" s="155" t="str">
        <f>IF(wskakunin_owner8__address="", "", wskakunin_owner8__address)</f>
        <v/>
      </c>
      <c r="H175" s="19"/>
    </row>
    <row r="176" spans="1:8" ht="15" customHeight="1" x14ac:dyDescent="0.15">
      <c r="A176" s="52"/>
      <c r="B176" s="79" t="s">
        <v>10</v>
      </c>
      <c r="C176" s="18" t="s">
        <v>1530</v>
      </c>
      <c r="D176" s="241"/>
      <c r="E176" s="18" t="s">
        <v>1531</v>
      </c>
      <c r="F176" s="155" t="str">
        <f>IF(wskakunin_owner8_TEL="", "", wskakunin_owner8_TEL)</f>
        <v/>
      </c>
      <c r="H176" s="19"/>
    </row>
    <row r="177" spans="1:8" ht="15" customHeight="1" x14ac:dyDescent="0.15">
      <c r="A177" s="52"/>
      <c r="B177" s="154"/>
      <c r="D177" s="36"/>
      <c r="F177" s="19"/>
      <c r="H177" s="19"/>
    </row>
    <row r="178" spans="1:8" ht="15" customHeight="1" x14ac:dyDescent="0.15">
      <c r="A178" s="48" t="s">
        <v>1408</v>
      </c>
      <c r="B178" s="51"/>
      <c r="H178" s="19"/>
    </row>
    <row r="179" spans="1:8" ht="15" customHeight="1" x14ac:dyDescent="0.15">
      <c r="A179" s="85"/>
      <c r="B179" s="79" t="s">
        <v>33</v>
      </c>
      <c r="C179" s="18" t="s">
        <v>1532</v>
      </c>
      <c r="D179" s="155"/>
      <c r="E179" s="18" t="s">
        <v>1533</v>
      </c>
      <c r="F179" s="155" t="str">
        <f>IF(wskakunin_owner9_JIMU_NAME="", "", wskakunin_owner9_JIMU_NAME)</f>
        <v/>
      </c>
      <c r="H179" s="19"/>
    </row>
    <row r="180" spans="1:8" ht="15" customHeight="1" x14ac:dyDescent="0.15">
      <c r="A180" s="85"/>
      <c r="B180" s="79" t="s">
        <v>98</v>
      </c>
      <c r="C180" s="18" t="s">
        <v>1534</v>
      </c>
      <c r="D180" s="155"/>
      <c r="E180" s="18" t="s">
        <v>1535</v>
      </c>
      <c r="F180" s="155" t="str">
        <f>IF(wskakunin_owner9_JIMU_NAME_KANA="","",wskakunin_owner9_JIMU_NAME_KANA)</f>
        <v/>
      </c>
      <c r="H180" s="19"/>
    </row>
    <row r="181" spans="1:8" ht="15" customHeight="1" x14ac:dyDescent="0.15">
      <c r="A181" s="85"/>
      <c r="B181" s="79" t="s">
        <v>31</v>
      </c>
      <c r="C181" s="18" t="s">
        <v>1536</v>
      </c>
      <c r="D181" s="155"/>
      <c r="E181" s="18" t="s">
        <v>1537</v>
      </c>
      <c r="F181" s="155" t="str">
        <f>IF(wskakunin_owner9_POST="", "", wskakunin_owner9_POST)</f>
        <v/>
      </c>
      <c r="H181" s="19"/>
    </row>
    <row r="182" spans="1:8" ht="15" customHeight="1" x14ac:dyDescent="0.15">
      <c r="A182" s="85"/>
      <c r="B182" s="79" t="s">
        <v>99</v>
      </c>
      <c r="C182" s="18" t="s">
        <v>1538</v>
      </c>
      <c r="D182" s="155"/>
      <c r="E182" s="18" t="s">
        <v>1539</v>
      </c>
      <c r="F182" s="155" t="str">
        <f>IF(wskakunin_owner9_POST_KANA="","",wskakunin_owner9_POST_KANA)</f>
        <v/>
      </c>
      <c r="H182" s="19"/>
    </row>
    <row r="183" spans="1:8" ht="15" customHeight="1" x14ac:dyDescent="0.15">
      <c r="A183" s="85"/>
      <c r="B183" s="79" t="s">
        <v>3</v>
      </c>
      <c r="C183" s="18" t="s">
        <v>1540</v>
      </c>
      <c r="D183" s="155"/>
      <c r="E183" s="18" t="s">
        <v>1541</v>
      </c>
      <c r="F183" s="155" t="str">
        <f>IF(wskakunin_owner9_NAME="", "", wskakunin_owner9_NAME)</f>
        <v/>
      </c>
      <c r="H183" s="19"/>
    </row>
    <row r="184" spans="1:8" ht="15" customHeight="1" x14ac:dyDescent="0.15">
      <c r="A184" s="52"/>
      <c r="B184" s="79" t="s">
        <v>100</v>
      </c>
      <c r="C184" s="18" t="s">
        <v>1542</v>
      </c>
      <c r="D184" s="155"/>
      <c r="E184" s="18" t="s">
        <v>1543</v>
      </c>
      <c r="F184" s="155" t="str">
        <f>IF(wskakunin_owner9_NAME_KANA="","",wskakunin_owner9_NAME_KANA)</f>
        <v/>
      </c>
      <c r="H184" s="19"/>
    </row>
    <row r="185" spans="1:8" ht="15" customHeight="1" x14ac:dyDescent="0.15">
      <c r="A185" s="52"/>
      <c r="B185" s="79" t="s">
        <v>8</v>
      </c>
      <c r="C185" s="18" t="s">
        <v>1544</v>
      </c>
      <c r="D185" s="241"/>
      <c r="E185" s="18" t="s">
        <v>1545</v>
      </c>
      <c r="F185" s="155" t="str">
        <f>IF(wskakunin_owner9_ZIP="", "", wskakunin_owner9_ZIP)</f>
        <v/>
      </c>
      <c r="H185" s="19"/>
    </row>
    <row r="186" spans="1:8" ht="15" customHeight="1" x14ac:dyDescent="0.15">
      <c r="A186" s="52"/>
      <c r="B186" s="79" t="s">
        <v>9</v>
      </c>
      <c r="C186" s="18" t="s">
        <v>1546</v>
      </c>
      <c r="D186" s="155"/>
      <c r="E186" s="18" t="s">
        <v>1547</v>
      </c>
      <c r="F186" s="155" t="str">
        <f>IF(wskakunin_owner9__address="", "", wskakunin_owner9__address)</f>
        <v/>
      </c>
      <c r="H186" s="19"/>
    </row>
    <row r="187" spans="1:8" ht="15" customHeight="1" x14ac:dyDescent="0.15">
      <c r="A187" s="52"/>
      <c r="B187" s="79" t="s">
        <v>10</v>
      </c>
      <c r="C187" s="18" t="s">
        <v>1548</v>
      </c>
      <c r="D187" s="241"/>
      <c r="E187" s="18" t="s">
        <v>1549</v>
      </c>
      <c r="F187" s="155" t="str">
        <f>IF(wskakunin_owner9_TEL="", "", wskakunin_owner9_TEL)</f>
        <v/>
      </c>
      <c r="H187" s="19"/>
    </row>
    <row r="188" spans="1:8" ht="15" customHeight="1" x14ac:dyDescent="0.15">
      <c r="A188" s="52"/>
      <c r="B188" s="154"/>
      <c r="D188" s="36"/>
      <c r="F188" s="19"/>
      <c r="H188" s="19"/>
    </row>
    <row r="189" spans="1:8" ht="15" customHeight="1" x14ac:dyDescent="0.15">
      <c r="A189" s="54" t="s">
        <v>47</v>
      </c>
      <c r="B189" s="113"/>
      <c r="G189" s="19"/>
      <c r="H189" s="19"/>
    </row>
    <row r="190" spans="1:8" ht="15" customHeight="1" x14ac:dyDescent="0.15">
      <c r="A190" s="114"/>
      <c r="B190" s="78" t="s">
        <v>540</v>
      </c>
      <c r="C190" s="18" t="s">
        <v>506</v>
      </c>
      <c r="D190" s="247"/>
      <c r="E190" s="18" t="s">
        <v>91</v>
      </c>
      <c r="F190" s="247" t="str">
        <f>IF(wskakunin_dairi1__sikaku="", "", wskakunin_dairi1__sikaku)</f>
        <v/>
      </c>
      <c r="G190" s="19"/>
      <c r="H190" s="19"/>
    </row>
    <row r="191" spans="1:8" ht="15" customHeight="1" x14ac:dyDescent="0.15">
      <c r="A191" s="114"/>
      <c r="B191" s="78" t="s">
        <v>541</v>
      </c>
      <c r="C191" s="18" t="s">
        <v>538</v>
      </c>
      <c r="D191" s="247"/>
      <c r="E191" s="18" t="s">
        <v>563</v>
      </c>
      <c r="F191" s="247" t="str">
        <f>IF(wskakunin_dairi1_SIKAKU__label="","",wskakunin_dairi1_SIKAKU__label)</f>
        <v/>
      </c>
      <c r="G191" s="19"/>
      <c r="H191" s="19"/>
    </row>
    <row r="192" spans="1:8" ht="15" customHeight="1" x14ac:dyDescent="0.15">
      <c r="A192" s="114"/>
      <c r="B192" s="78" t="s">
        <v>536</v>
      </c>
      <c r="C192" s="18" t="s">
        <v>1354</v>
      </c>
      <c r="D192" s="247"/>
      <c r="E192" s="18" t="s">
        <v>564</v>
      </c>
      <c r="F192" s="247" t="str">
        <f>IF(wskakunin_dairi1_TOUROKU_KIKAN__label="","",wskakunin_dairi1_TOUROKU_KIKAN__label)</f>
        <v/>
      </c>
      <c r="G192" s="19"/>
      <c r="H192" s="19"/>
    </row>
    <row r="193" spans="1:8" ht="15" customHeight="1" x14ac:dyDescent="0.15">
      <c r="A193" s="114"/>
      <c r="B193" s="78" t="s">
        <v>537</v>
      </c>
      <c r="C193" s="18" t="s">
        <v>539</v>
      </c>
      <c r="D193" s="249"/>
      <c r="E193" s="18" t="s">
        <v>562</v>
      </c>
      <c r="F193" s="247" t="str">
        <f>IF(wskakunin_dairi1_KENTIKUSI_NO="","",wskakunin_dairi1_KENTIKUSI_NO)</f>
        <v/>
      </c>
      <c r="G193" s="19"/>
      <c r="H193" s="19"/>
    </row>
    <row r="194" spans="1:8" ht="15" customHeight="1" x14ac:dyDescent="0.15">
      <c r="A194" s="275"/>
      <c r="B194" s="78" t="s">
        <v>31</v>
      </c>
      <c r="C194" s="18" t="s">
        <v>2695</v>
      </c>
      <c r="D194" s="249"/>
      <c r="E194" s="18" t="s">
        <v>2696</v>
      </c>
      <c r="F194" s="247" t="str">
        <f>IF(wsflat35_dairi1_POST="","",wsflat35_dairi1_POST)</f>
        <v/>
      </c>
      <c r="G194" s="19"/>
      <c r="H194" s="19"/>
    </row>
    <row r="195" spans="1:8" ht="15" customHeight="1" x14ac:dyDescent="0.15">
      <c r="A195" s="63"/>
      <c r="B195" s="78" t="s">
        <v>3</v>
      </c>
      <c r="C195" s="18" t="s">
        <v>72</v>
      </c>
      <c r="D195" s="247"/>
      <c r="E195" s="18" t="s">
        <v>2833</v>
      </c>
      <c r="F195" s="247" t="str">
        <f>IF(wskakunin_dairi1_NAME="", "", wskakunin_dairi1_NAME)</f>
        <v/>
      </c>
      <c r="G195" s="19"/>
      <c r="H195" s="19"/>
    </row>
    <row r="196" spans="1:8" ht="15" customHeight="1" x14ac:dyDescent="0.15">
      <c r="A196" s="273"/>
      <c r="B196" s="78"/>
      <c r="D196" s="19"/>
      <c r="E196" s="18" t="s">
        <v>2834</v>
      </c>
      <c r="F196" s="247" t="str">
        <f>IF(wsflat35_dairi1_POST&amp;wskakunin_dairi1_NAME="","",IF(wsflat35_dairi1_POST="",wskakunin_dairi1_NAME,wsflat35_dairi1_POST&amp;"　"&amp;wskakunin_dairi1_NAME))</f>
        <v/>
      </c>
      <c r="G196" s="19"/>
      <c r="H196" s="19"/>
    </row>
    <row r="197" spans="1:8" ht="15" customHeight="1" x14ac:dyDescent="0.15">
      <c r="A197" s="63"/>
      <c r="B197" s="78" t="s">
        <v>41</v>
      </c>
      <c r="C197" s="18" t="s">
        <v>73</v>
      </c>
      <c r="D197" s="247"/>
      <c r="E197" s="18" t="s">
        <v>92</v>
      </c>
      <c r="F197" s="247" t="str">
        <f>IF(wskakunin_dairi1_NAME_KANA="", "", wskakunin_dairi1_NAME_KANA)</f>
        <v/>
      </c>
      <c r="G197" s="19"/>
      <c r="H197" s="19"/>
    </row>
    <row r="198" spans="1:8" ht="15" customHeight="1" x14ac:dyDescent="0.15">
      <c r="A198" s="63"/>
      <c r="B198" s="78" t="s">
        <v>542</v>
      </c>
      <c r="C198" s="18" t="s">
        <v>545</v>
      </c>
      <c r="D198" s="247"/>
      <c r="E198" s="18" t="s">
        <v>93</v>
      </c>
      <c r="F198" s="247" t="str">
        <f>IF(wskakunin_dairi1_JIMU__sikaku="", "", wskakunin_dairi1_JIMU__sikaku)</f>
        <v/>
      </c>
      <c r="G198" s="19"/>
      <c r="H198" s="19"/>
    </row>
    <row r="199" spans="1:8" ht="15" customHeight="1" x14ac:dyDescent="0.15">
      <c r="A199" s="63"/>
      <c r="B199" s="78" t="s">
        <v>34</v>
      </c>
      <c r="C199" s="18" t="s">
        <v>546</v>
      </c>
      <c r="D199" s="247"/>
      <c r="E199" s="18" t="s">
        <v>1396</v>
      </c>
      <c r="F199" s="247" t="str">
        <f>IF(wskakunin_dairi1_JIMU_SIKAKU__label="","",wskakunin_dairi1_JIMU_SIKAKU__label)</f>
        <v/>
      </c>
      <c r="G199" s="19"/>
      <c r="H199" s="19"/>
    </row>
    <row r="200" spans="1:8" ht="15" customHeight="1" x14ac:dyDescent="0.15">
      <c r="A200" s="63"/>
      <c r="B200" s="78" t="s">
        <v>543</v>
      </c>
      <c r="C200" s="18" t="s">
        <v>1353</v>
      </c>
      <c r="D200" s="247"/>
      <c r="E200" s="18" t="s">
        <v>565</v>
      </c>
      <c r="F200" s="247" t="str">
        <f>IF(wskakunin_dairi1_JIMU_TOUROKU_KIKAN__label="","",wskakunin_dairi1_JIMU_TOUROKU_KIKAN__label)</f>
        <v/>
      </c>
      <c r="G200" s="19"/>
      <c r="H200" s="19"/>
    </row>
    <row r="201" spans="1:8" ht="15" customHeight="1" x14ac:dyDescent="0.15">
      <c r="A201" s="63"/>
      <c r="B201" s="78" t="s">
        <v>544</v>
      </c>
      <c r="C201" s="18" t="s">
        <v>547</v>
      </c>
      <c r="D201" s="249"/>
      <c r="E201" s="18" t="s">
        <v>566</v>
      </c>
      <c r="F201" s="247" t="str">
        <f>IF(wskakunin_dairi1_JIMU_NO="","",wskakunin_dairi1_JIMU_NO)</f>
        <v/>
      </c>
      <c r="G201" s="19"/>
      <c r="H201" s="19"/>
    </row>
    <row r="202" spans="1:8" ht="15" customHeight="1" x14ac:dyDescent="0.15">
      <c r="A202" s="63"/>
      <c r="B202" s="78" t="s">
        <v>35</v>
      </c>
      <c r="C202" s="18" t="s">
        <v>74</v>
      </c>
      <c r="D202" s="247"/>
      <c r="E202" s="18" t="s">
        <v>102</v>
      </c>
      <c r="F202" s="247" t="str">
        <f>IF(wskakunin_dairi1_JIMU_NAME="", "",wskakunin_dairi1_JIMU_NAME)</f>
        <v/>
      </c>
      <c r="G202" s="19"/>
      <c r="H202" s="19"/>
    </row>
    <row r="203" spans="1:8" ht="15" customHeight="1" x14ac:dyDescent="0.15">
      <c r="A203" s="63"/>
      <c r="B203" s="78" t="s">
        <v>8</v>
      </c>
      <c r="C203" s="18" t="s">
        <v>75</v>
      </c>
      <c r="D203" s="249"/>
      <c r="E203" s="18" t="s">
        <v>103</v>
      </c>
      <c r="F203" s="247" t="str">
        <f>IF(wskakunin_dairi1_ZIP="", "", wskakunin_dairi1_ZIP)</f>
        <v/>
      </c>
      <c r="G203" s="19"/>
      <c r="H203" s="19"/>
    </row>
    <row r="204" spans="1:8" ht="15" customHeight="1" x14ac:dyDescent="0.15">
      <c r="A204" s="63"/>
      <c r="B204" s="78" t="s">
        <v>11</v>
      </c>
      <c r="C204" s="18" t="s">
        <v>76</v>
      </c>
      <c r="D204" s="247"/>
      <c r="E204" s="18" t="s">
        <v>104</v>
      </c>
      <c r="F204" s="247" t="str">
        <f>IF(wskakunin_dairi1__address="", "", wskakunin_dairi1__address)</f>
        <v/>
      </c>
      <c r="G204" s="19"/>
      <c r="H204" s="19"/>
    </row>
    <row r="205" spans="1:8" ht="15" customHeight="1" x14ac:dyDescent="0.15">
      <c r="A205" s="63"/>
      <c r="B205" s="78" t="s">
        <v>10</v>
      </c>
      <c r="C205" s="18" t="s">
        <v>77</v>
      </c>
      <c r="D205" s="249"/>
      <c r="E205" s="18" t="s">
        <v>105</v>
      </c>
      <c r="F205" s="247" t="str">
        <f>IF(wskakunin_dairi1_TEL="", "", wskakunin_dairi1_TEL)</f>
        <v/>
      </c>
      <c r="G205" s="19"/>
      <c r="H205" s="19"/>
    </row>
    <row r="206" spans="1:8" ht="15" customHeight="1" x14ac:dyDescent="0.15">
      <c r="A206" s="63"/>
      <c r="B206" s="78" t="s">
        <v>612</v>
      </c>
      <c r="C206" s="18" t="s">
        <v>613</v>
      </c>
      <c r="D206" s="249"/>
      <c r="E206" s="18" t="s">
        <v>614</v>
      </c>
      <c r="F206" s="247" t="str">
        <f>IF(wskakunin_dairi1_FAX="", "", wskakunin_dairi1_FAX)</f>
        <v/>
      </c>
      <c r="G206" s="19"/>
      <c r="H206" s="19"/>
    </row>
    <row r="207" spans="1:8" ht="15" customHeight="1" x14ac:dyDescent="0.15">
      <c r="A207" s="63"/>
      <c r="B207" s="115" t="s">
        <v>97</v>
      </c>
      <c r="D207" s="19"/>
      <c r="E207" s="18" t="s">
        <v>114</v>
      </c>
      <c r="F207" s="247" t="str">
        <f>IF(wskakunin_dairi1_NAME&amp;wskakunin_dairi1_JIMU_NAME="","",IF(wskakunin_dairi1_JIMU_NAME="",wskakunin_dairi1_NAME,wskakunin_dairi1_JIMU_NAME&amp;"　"&amp;wskakunin_dairi1_NAME))</f>
        <v/>
      </c>
      <c r="G207" s="19"/>
      <c r="H207" s="19"/>
    </row>
    <row r="208" spans="1:8" ht="15" customHeight="1" x14ac:dyDescent="0.15">
      <c r="A208" s="273"/>
      <c r="B208" s="274"/>
      <c r="D208" s="19"/>
      <c r="E208" s="18" t="s">
        <v>2694</v>
      </c>
      <c r="F208" s="247" t="str">
        <f>IF(AND(cst_wskakunin_dairi1_JIMU_NAME="",cst_wsflat35_dairi1_POST=""),cst_wskakunin_dairi1_NAME,IF(cst_wskakunin_dairi1_JIMU_NAME="",cst_wsflat35_dairi1_POST&amp;"　"&amp;cst_wskakunin_dairi1_NAME,IF(cst_wsflat35_dairi1_POST="",cst_wskakunin_dairi1_JIMU_NAME&amp;"　"&amp;cst_wskakunin_dairi1_NAME,cst_wskakunin_dairi1_JIMU_NAME&amp;"　"&amp;cst_wsflat35_dairi1_POST&amp;"　"&amp;cst_wskakunin_dairi1_NAME)))</f>
        <v/>
      </c>
      <c r="G208" s="19"/>
      <c r="H208" s="19"/>
    </row>
    <row r="209" spans="1:8" ht="15" customHeight="1" x14ac:dyDescent="0.15">
      <c r="A209" s="64"/>
      <c r="B209" s="116"/>
      <c r="D209" s="36"/>
      <c r="F209" s="19"/>
      <c r="G209" s="19"/>
      <c r="H209" s="19"/>
    </row>
    <row r="210" spans="1:8" ht="15" customHeight="1" x14ac:dyDescent="0.15">
      <c r="A210" s="54" t="s">
        <v>1550</v>
      </c>
      <c r="B210" s="113"/>
      <c r="G210" s="19"/>
      <c r="H210" s="19"/>
    </row>
    <row r="211" spans="1:8" ht="15" customHeight="1" x14ac:dyDescent="0.15">
      <c r="A211" s="114"/>
      <c r="B211" s="78" t="s">
        <v>540</v>
      </c>
      <c r="C211" s="18" t="s">
        <v>1554</v>
      </c>
      <c r="D211" s="247"/>
      <c r="E211" s="18" t="s">
        <v>1555</v>
      </c>
      <c r="F211" s="247" t="str">
        <f>IF(wskakunin_dairi2__sikaku="", "", wskakunin_dairi2__sikaku)</f>
        <v/>
      </c>
      <c r="H211" s="19"/>
    </row>
    <row r="212" spans="1:8" ht="15" customHeight="1" x14ac:dyDescent="0.15">
      <c r="A212" s="114"/>
      <c r="B212" s="78" t="s">
        <v>541</v>
      </c>
      <c r="C212" s="18" t="s">
        <v>1556</v>
      </c>
      <c r="D212" s="247"/>
      <c r="E212" s="18" t="s">
        <v>1557</v>
      </c>
      <c r="F212" s="247" t="str">
        <f>IF(wskakunin_dairi2_SIKAKU__label="","",wskakunin_dairi2_SIKAKU__label)</f>
        <v/>
      </c>
      <c r="H212" s="19"/>
    </row>
    <row r="213" spans="1:8" ht="15" customHeight="1" x14ac:dyDescent="0.15">
      <c r="A213" s="114"/>
      <c r="B213" s="78" t="s">
        <v>536</v>
      </c>
      <c r="C213" s="18" t="s">
        <v>1558</v>
      </c>
      <c r="D213" s="247"/>
      <c r="E213" s="18" t="s">
        <v>1559</v>
      </c>
      <c r="F213" s="247" t="str">
        <f>IF(wskakunin_dairi2_TOUROKU_KIKAN__label="","",wskakunin_dairi2_TOUROKU_KIKAN__label)</f>
        <v/>
      </c>
      <c r="H213" s="19"/>
    </row>
    <row r="214" spans="1:8" ht="15" customHeight="1" x14ac:dyDescent="0.15">
      <c r="A214" s="114"/>
      <c r="B214" s="78" t="s">
        <v>537</v>
      </c>
      <c r="C214" s="18" t="s">
        <v>1560</v>
      </c>
      <c r="D214" s="249"/>
      <c r="E214" s="18" t="s">
        <v>1561</v>
      </c>
      <c r="F214" s="247" t="str">
        <f>IF(wskakunin_dairi2_KENTIKUSI_NO="","",wskakunin_dairi2_KENTIKUSI_NO)</f>
        <v/>
      </c>
      <c r="H214" s="19"/>
    </row>
    <row r="215" spans="1:8" ht="15" customHeight="1" x14ac:dyDescent="0.15">
      <c r="A215" s="63"/>
      <c r="B215" s="78" t="s">
        <v>3</v>
      </c>
      <c r="C215" s="18" t="s">
        <v>1562</v>
      </c>
      <c r="D215" s="247"/>
      <c r="E215" s="18" t="s">
        <v>1563</v>
      </c>
      <c r="F215" s="247" t="str">
        <f>IF(wskakunin_dairi2_NAME="", "", wskakunin_dairi2_NAME)</f>
        <v/>
      </c>
      <c r="H215" s="19"/>
    </row>
    <row r="216" spans="1:8" ht="15" customHeight="1" x14ac:dyDescent="0.15">
      <c r="A216" s="63"/>
      <c r="B216" s="78" t="s">
        <v>41</v>
      </c>
      <c r="C216" s="18" t="s">
        <v>1564</v>
      </c>
      <c r="D216" s="247"/>
      <c r="E216" s="18" t="s">
        <v>1565</v>
      </c>
      <c r="F216" s="247" t="str">
        <f>IF(wskakunin_dairi2_NAME_KANA="", "", wskakunin_dairi2_NAME_KANA)</f>
        <v/>
      </c>
      <c r="H216" s="19"/>
    </row>
    <row r="217" spans="1:8" ht="15" customHeight="1" x14ac:dyDescent="0.15">
      <c r="A217" s="63"/>
      <c r="B217" s="78" t="s">
        <v>542</v>
      </c>
      <c r="C217" s="18" t="s">
        <v>1566</v>
      </c>
      <c r="D217" s="247"/>
      <c r="E217" s="18" t="s">
        <v>1567</v>
      </c>
      <c r="F217" s="247" t="str">
        <f>IF(wskakunin_dairi2_JIMU__sikaku="", "", wskakunin_dairi2_JIMU__sikaku)</f>
        <v/>
      </c>
      <c r="H217" s="19"/>
    </row>
    <row r="218" spans="1:8" ht="15" customHeight="1" x14ac:dyDescent="0.15">
      <c r="A218" s="63"/>
      <c r="B218" s="78" t="s">
        <v>34</v>
      </c>
      <c r="C218" s="18" t="s">
        <v>1568</v>
      </c>
      <c r="D218" s="247"/>
      <c r="E218" s="18" t="s">
        <v>1569</v>
      </c>
      <c r="F218" s="247" t="str">
        <f>IF(wskakunin_dairi2_JIMU_SIKAKU__label="","",wskakunin_dairi2_JIMU_SIKAKU__label)</f>
        <v/>
      </c>
      <c r="H218" s="19"/>
    </row>
    <row r="219" spans="1:8" ht="15" customHeight="1" x14ac:dyDescent="0.15">
      <c r="A219" s="63"/>
      <c r="B219" s="78" t="s">
        <v>543</v>
      </c>
      <c r="C219" s="18" t="s">
        <v>1570</v>
      </c>
      <c r="D219" s="247"/>
      <c r="E219" s="18" t="s">
        <v>1571</v>
      </c>
      <c r="F219" s="247" t="str">
        <f>IF(wskakunin_dairi2_JIMU_TOUROKU_KIKAN__label="","",wskakunin_dairi2_JIMU_TOUROKU_KIKAN__label)</f>
        <v/>
      </c>
      <c r="H219" s="19"/>
    </row>
    <row r="220" spans="1:8" ht="15" customHeight="1" x14ac:dyDescent="0.15">
      <c r="A220" s="63"/>
      <c r="B220" s="78" t="s">
        <v>544</v>
      </c>
      <c r="C220" s="18" t="s">
        <v>1572</v>
      </c>
      <c r="D220" s="249"/>
      <c r="E220" s="18" t="s">
        <v>1573</v>
      </c>
      <c r="F220" s="247" t="str">
        <f>IF(wskakunin_dairi2_JIMU_NO="","",wskakunin_dairi2_JIMU_NO)</f>
        <v/>
      </c>
      <c r="H220" s="19"/>
    </row>
    <row r="221" spans="1:8" ht="15" customHeight="1" x14ac:dyDescent="0.15">
      <c r="A221" s="63"/>
      <c r="B221" s="78" t="s">
        <v>35</v>
      </c>
      <c r="C221" s="18" t="s">
        <v>1574</v>
      </c>
      <c r="D221" s="247"/>
      <c r="E221" s="18" t="s">
        <v>1575</v>
      </c>
      <c r="F221" s="247" t="str">
        <f>IF(wskakunin_dairi2_JIMU_NAME="", "",wskakunin_dairi2_JIMU_NAME)</f>
        <v/>
      </c>
      <c r="H221" s="19"/>
    </row>
    <row r="222" spans="1:8" ht="15" customHeight="1" x14ac:dyDescent="0.15">
      <c r="A222" s="63"/>
      <c r="B222" s="78" t="s">
        <v>8</v>
      </c>
      <c r="C222" s="18" t="s">
        <v>1576</v>
      </c>
      <c r="D222" s="249"/>
      <c r="E222" s="18" t="s">
        <v>1577</v>
      </c>
      <c r="F222" s="247" t="str">
        <f>IF(wskakunin_dairi2_ZIP="", "", wskakunin_dairi2_ZIP)</f>
        <v/>
      </c>
      <c r="H222" s="19"/>
    </row>
    <row r="223" spans="1:8" ht="15" customHeight="1" x14ac:dyDescent="0.15">
      <c r="A223" s="63"/>
      <c r="B223" s="78" t="s">
        <v>11</v>
      </c>
      <c r="C223" s="18" t="s">
        <v>1578</v>
      </c>
      <c r="D223" s="247"/>
      <c r="E223" s="18" t="s">
        <v>1579</v>
      </c>
      <c r="F223" s="247" t="str">
        <f>IF(wskakunin_dairi2__address="", "", wskakunin_dairi2__address)</f>
        <v/>
      </c>
      <c r="H223" s="19"/>
    </row>
    <row r="224" spans="1:8" ht="15" customHeight="1" x14ac:dyDescent="0.15">
      <c r="A224" s="63"/>
      <c r="B224" s="78" t="s">
        <v>10</v>
      </c>
      <c r="C224" s="18" t="s">
        <v>1580</v>
      </c>
      <c r="D224" s="249"/>
      <c r="E224" s="18" t="s">
        <v>1581</v>
      </c>
      <c r="F224" s="247" t="str">
        <f>IF(wskakunin_dairi2_TEL="", "", wskakunin_dairi2_TEL)</f>
        <v/>
      </c>
      <c r="H224" s="19"/>
    </row>
    <row r="225" spans="1:8" ht="15" customHeight="1" x14ac:dyDescent="0.15">
      <c r="A225" s="63"/>
      <c r="B225" s="78" t="s">
        <v>612</v>
      </c>
      <c r="C225" s="18" t="s">
        <v>1582</v>
      </c>
      <c r="D225" s="249"/>
      <c r="E225" s="18" t="s">
        <v>1583</v>
      </c>
      <c r="F225" s="247" t="str">
        <f>IF(wskakunin_dairi2_FAX="", "", wskakunin_dairi2_FAX)</f>
        <v/>
      </c>
      <c r="H225" s="19"/>
    </row>
    <row r="226" spans="1:8" ht="15" customHeight="1" x14ac:dyDescent="0.15">
      <c r="A226" s="63"/>
      <c r="B226" s="115" t="s">
        <v>97</v>
      </c>
      <c r="D226" s="19"/>
      <c r="E226" s="18" t="s">
        <v>1584</v>
      </c>
      <c r="F226" s="247" t="str">
        <f>IF(wskakunin_dairi2_NAME&amp;wskakunin_dairi2_JIMU_NAME="","",IF(wskakunin_dairi2_JIMU_NAME="",wskakunin_dairi2_NAME,wskakunin_dairi2_JIMU_NAME&amp;"　"&amp;wskakunin_dairi2_NAME))</f>
        <v/>
      </c>
      <c r="H226" s="19"/>
    </row>
    <row r="227" spans="1:8" ht="15" customHeight="1" x14ac:dyDescent="0.15">
      <c r="A227" s="64"/>
      <c r="B227" s="116"/>
      <c r="D227" s="36"/>
      <c r="F227" s="19"/>
      <c r="H227" s="19"/>
    </row>
    <row r="228" spans="1:8" ht="15" customHeight="1" x14ac:dyDescent="0.15">
      <c r="A228" s="54" t="s">
        <v>1551</v>
      </c>
      <c r="B228" s="113"/>
      <c r="H228" s="19"/>
    </row>
    <row r="229" spans="1:8" ht="15" customHeight="1" x14ac:dyDescent="0.15">
      <c r="A229" s="114"/>
      <c r="B229" s="78" t="s">
        <v>540</v>
      </c>
      <c r="C229" s="18" t="s">
        <v>1585</v>
      </c>
      <c r="D229" s="247"/>
      <c r="E229" s="18" t="s">
        <v>1586</v>
      </c>
      <c r="F229" s="247" t="str">
        <f>IF(wskakunin_dairi3__sikaku="", "", wskakunin_dairi3__sikaku)</f>
        <v/>
      </c>
      <c r="H229" s="19"/>
    </row>
    <row r="230" spans="1:8" ht="15" customHeight="1" x14ac:dyDescent="0.15">
      <c r="A230" s="114"/>
      <c r="B230" s="78" t="s">
        <v>541</v>
      </c>
      <c r="C230" s="18" t="s">
        <v>1587</v>
      </c>
      <c r="D230" s="247"/>
      <c r="E230" s="18" t="s">
        <v>1588</v>
      </c>
      <c r="F230" s="247" t="str">
        <f>IF(wskakunin_dairi3_SIKAKU__label="","",wskakunin_dairi3_SIKAKU__label)</f>
        <v/>
      </c>
      <c r="H230" s="19"/>
    </row>
    <row r="231" spans="1:8" ht="15" customHeight="1" x14ac:dyDescent="0.15">
      <c r="A231" s="114"/>
      <c r="B231" s="78" t="s">
        <v>536</v>
      </c>
      <c r="C231" s="18" t="s">
        <v>1589</v>
      </c>
      <c r="D231" s="247"/>
      <c r="E231" s="18" t="s">
        <v>1590</v>
      </c>
      <c r="F231" s="247" t="str">
        <f>IF(wskakunin_dairi3_TOUROKU_KIKAN__label="","",wskakunin_dairi3_TOUROKU_KIKAN__label)</f>
        <v/>
      </c>
      <c r="H231" s="19"/>
    </row>
    <row r="232" spans="1:8" ht="15" customHeight="1" x14ac:dyDescent="0.15">
      <c r="A232" s="114"/>
      <c r="B232" s="78" t="s">
        <v>537</v>
      </c>
      <c r="C232" s="18" t="s">
        <v>1591</v>
      </c>
      <c r="D232" s="249"/>
      <c r="E232" s="18" t="s">
        <v>1592</v>
      </c>
      <c r="F232" s="247" t="str">
        <f>IF(wskakunin_dairi3_KENTIKUSI_NO="","",wskakunin_dairi3_KENTIKUSI_NO)</f>
        <v/>
      </c>
      <c r="H232" s="19"/>
    </row>
    <row r="233" spans="1:8" ht="15" customHeight="1" x14ac:dyDescent="0.15">
      <c r="A233" s="63"/>
      <c r="B233" s="78" t="s">
        <v>3</v>
      </c>
      <c r="C233" s="18" t="s">
        <v>1593</v>
      </c>
      <c r="D233" s="247"/>
      <c r="E233" s="18" t="s">
        <v>1594</v>
      </c>
      <c r="F233" s="247" t="str">
        <f>IF(wskakunin_dairi3_NAME="", "", wskakunin_dairi3_NAME)</f>
        <v/>
      </c>
      <c r="H233" s="19"/>
    </row>
    <row r="234" spans="1:8" ht="15" customHeight="1" x14ac:dyDescent="0.15">
      <c r="A234" s="63"/>
      <c r="B234" s="78" t="s">
        <v>41</v>
      </c>
      <c r="C234" s="18" t="s">
        <v>1595</v>
      </c>
      <c r="D234" s="247"/>
      <c r="E234" s="18" t="s">
        <v>1596</v>
      </c>
      <c r="F234" s="247" t="str">
        <f>IF(wskakunin_dairi3_NAME_KANA="", "", wskakunin_dairi3_NAME_KANA)</f>
        <v/>
      </c>
      <c r="H234" s="19"/>
    </row>
    <row r="235" spans="1:8" ht="15" customHeight="1" x14ac:dyDescent="0.15">
      <c r="A235" s="63"/>
      <c r="B235" s="78" t="s">
        <v>542</v>
      </c>
      <c r="C235" s="18" t="s">
        <v>1597</v>
      </c>
      <c r="D235" s="247"/>
      <c r="E235" s="18" t="s">
        <v>1598</v>
      </c>
      <c r="F235" s="247" t="str">
        <f>IF(wskakunin_dairi3_JIMU__sikaku="", "", wskakunin_dairi3_JIMU__sikaku)</f>
        <v/>
      </c>
      <c r="H235" s="19"/>
    </row>
    <row r="236" spans="1:8" ht="15" customHeight="1" x14ac:dyDescent="0.15">
      <c r="A236" s="63"/>
      <c r="B236" s="78" t="s">
        <v>34</v>
      </c>
      <c r="C236" s="18" t="s">
        <v>1599</v>
      </c>
      <c r="D236" s="247"/>
      <c r="E236" s="18" t="s">
        <v>1600</v>
      </c>
      <c r="F236" s="247" t="str">
        <f>IF(wskakunin_dairi3_JIMU_SIKAKU__label="","",wskakunin_dairi3_JIMU_SIKAKU__label)</f>
        <v/>
      </c>
      <c r="H236" s="19"/>
    </row>
    <row r="237" spans="1:8" ht="15" customHeight="1" x14ac:dyDescent="0.15">
      <c r="A237" s="63"/>
      <c r="B237" s="78" t="s">
        <v>543</v>
      </c>
      <c r="C237" s="18" t="s">
        <v>1601</v>
      </c>
      <c r="D237" s="247"/>
      <c r="E237" s="18" t="s">
        <v>1602</v>
      </c>
      <c r="F237" s="247" t="str">
        <f>IF(wskakunin_dairi3_JIMU_TOUROKU_KIKAN__label="","",wskakunin_dairi3_JIMU_TOUROKU_KIKAN__label)</f>
        <v/>
      </c>
      <c r="H237" s="19"/>
    </row>
    <row r="238" spans="1:8" ht="15" customHeight="1" x14ac:dyDescent="0.15">
      <c r="A238" s="63"/>
      <c r="B238" s="78" t="s">
        <v>544</v>
      </c>
      <c r="C238" s="18" t="s">
        <v>1603</v>
      </c>
      <c r="D238" s="249"/>
      <c r="E238" s="18" t="s">
        <v>1604</v>
      </c>
      <c r="F238" s="247" t="str">
        <f>IF(wskakunin_dairi3_JIMU_NO="","",wskakunin_dairi3_JIMU_NO)</f>
        <v/>
      </c>
      <c r="H238" s="19"/>
    </row>
    <row r="239" spans="1:8" ht="15" customHeight="1" x14ac:dyDescent="0.15">
      <c r="A239" s="63"/>
      <c r="B239" s="78" t="s">
        <v>35</v>
      </c>
      <c r="C239" s="18" t="s">
        <v>1605</v>
      </c>
      <c r="D239" s="247"/>
      <c r="E239" s="18" t="s">
        <v>1606</v>
      </c>
      <c r="F239" s="247" t="str">
        <f>IF(wskakunin_dairi3_JIMU_NAME="", "",wskakunin_dairi3_JIMU_NAME)</f>
        <v/>
      </c>
      <c r="H239" s="19"/>
    </row>
    <row r="240" spans="1:8" ht="15" customHeight="1" x14ac:dyDescent="0.15">
      <c r="A240" s="63"/>
      <c r="B240" s="78" t="s">
        <v>8</v>
      </c>
      <c r="C240" s="18" t="s">
        <v>1607</v>
      </c>
      <c r="D240" s="249"/>
      <c r="E240" s="18" t="s">
        <v>1608</v>
      </c>
      <c r="F240" s="247" t="str">
        <f>IF(wskakunin_dairi3_ZIP="", "", wskakunin_dairi3_ZIP)</f>
        <v/>
      </c>
      <c r="H240" s="19"/>
    </row>
    <row r="241" spans="1:8" ht="15" customHeight="1" x14ac:dyDescent="0.15">
      <c r="A241" s="63"/>
      <c r="B241" s="78" t="s">
        <v>11</v>
      </c>
      <c r="C241" s="18" t="s">
        <v>1609</v>
      </c>
      <c r="D241" s="247"/>
      <c r="E241" s="18" t="s">
        <v>1610</v>
      </c>
      <c r="F241" s="247" t="str">
        <f>IF(wskakunin_dairi3__address="", "", wskakunin_dairi3__address)</f>
        <v/>
      </c>
      <c r="H241" s="19"/>
    </row>
    <row r="242" spans="1:8" ht="15" customHeight="1" x14ac:dyDescent="0.15">
      <c r="A242" s="63"/>
      <c r="B242" s="78" t="s">
        <v>10</v>
      </c>
      <c r="C242" s="18" t="s">
        <v>1611</v>
      </c>
      <c r="D242" s="249"/>
      <c r="E242" s="18" t="s">
        <v>1612</v>
      </c>
      <c r="F242" s="247" t="str">
        <f>IF(wskakunin_dairi3_TEL="", "", wskakunin_dairi3_TEL)</f>
        <v/>
      </c>
      <c r="H242" s="19"/>
    </row>
    <row r="243" spans="1:8" ht="15" customHeight="1" x14ac:dyDescent="0.15">
      <c r="A243" s="63"/>
      <c r="B243" s="78" t="s">
        <v>612</v>
      </c>
      <c r="C243" s="18" t="s">
        <v>1613</v>
      </c>
      <c r="D243" s="249"/>
      <c r="E243" s="18" t="s">
        <v>1614</v>
      </c>
      <c r="F243" s="247" t="str">
        <f>IF(wskakunin_dairi3_FAX="", "", wskakunin_dairi3_FAX)</f>
        <v/>
      </c>
      <c r="H243" s="19"/>
    </row>
    <row r="244" spans="1:8" ht="15" customHeight="1" x14ac:dyDescent="0.15">
      <c r="A244" s="63"/>
      <c r="B244" s="115" t="s">
        <v>97</v>
      </c>
      <c r="D244" s="19"/>
      <c r="E244" s="18" t="s">
        <v>1615</v>
      </c>
      <c r="F244" s="247" t="str">
        <f>IF(wskakunin_dairi3_NAME&amp;wskakunin_dairi3_JIMU_NAME="","",IF(wskakunin_dairi3_JIMU_NAME="",wskakunin_dairi3_NAME,wskakunin_dairi3_JIMU_NAME&amp;"　"&amp;wskakunin_dairi3_NAME))</f>
        <v/>
      </c>
      <c r="H244" s="19"/>
    </row>
    <row r="245" spans="1:8" ht="15" customHeight="1" x14ac:dyDescent="0.15">
      <c r="A245" s="64"/>
      <c r="B245" s="116"/>
      <c r="D245" s="36"/>
      <c r="F245" s="19"/>
      <c r="H245" s="19"/>
    </row>
    <row r="246" spans="1:8" ht="15" customHeight="1" x14ac:dyDescent="0.15">
      <c r="A246" s="54" t="s">
        <v>1552</v>
      </c>
      <c r="B246" s="113"/>
      <c r="H246" s="19"/>
    </row>
    <row r="247" spans="1:8" ht="15" customHeight="1" x14ac:dyDescent="0.15">
      <c r="A247" s="114"/>
      <c r="B247" s="78" t="s">
        <v>540</v>
      </c>
      <c r="C247" s="18" t="s">
        <v>1616</v>
      </c>
      <c r="D247" s="247"/>
      <c r="E247" s="18" t="s">
        <v>1617</v>
      </c>
      <c r="F247" s="247" t="str">
        <f>IF(wskakunin_dairi4__sikaku="", "", wskakunin_dairi4__sikaku)</f>
        <v/>
      </c>
      <c r="H247" s="19"/>
    </row>
    <row r="248" spans="1:8" ht="15" customHeight="1" x14ac:dyDescent="0.15">
      <c r="A248" s="114"/>
      <c r="B248" s="78" t="s">
        <v>541</v>
      </c>
      <c r="C248" s="18" t="s">
        <v>1618</v>
      </c>
      <c r="D248" s="247"/>
      <c r="E248" s="18" t="s">
        <v>1619</v>
      </c>
      <c r="F248" s="247" t="str">
        <f>IF(wskakunin_dairi4_SIKAKU__label="","",wskakunin_dairi4_SIKAKU__label)</f>
        <v/>
      </c>
      <c r="H248" s="19"/>
    </row>
    <row r="249" spans="1:8" ht="15" customHeight="1" x14ac:dyDescent="0.15">
      <c r="A249" s="114"/>
      <c r="B249" s="78" t="s">
        <v>536</v>
      </c>
      <c r="C249" s="18" t="s">
        <v>1620</v>
      </c>
      <c r="D249" s="247"/>
      <c r="E249" s="18" t="s">
        <v>1621</v>
      </c>
      <c r="F249" s="247" t="str">
        <f>IF(wskakunin_dairi4_TOUROKU_KIKAN__label="","",wskakunin_dairi4_TOUROKU_KIKAN__label)</f>
        <v/>
      </c>
      <c r="H249" s="19"/>
    </row>
    <row r="250" spans="1:8" ht="15" customHeight="1" x14ac:dyDescent="0.15">
      <c r="A250" s="114"/>
      <c r="B250" s="78" t="s">
        <v>537</v>
      </c>
      <c r="C250" s="18" t="s">
        <v>1622</v>
      </c>
      <c r="D250" s="249"/>
      <c r="E250" s="18" t="s">
        <v>1623</v>
      </c>
      <c r="F250" s="247" t="str">
        <f>IF(wskakunin_dairi4_KENTIKUSI_NO="","",wskakunin_dairi4_KENTIKUSI_NO)</f>
        <v/>
      </c>
      <c r="H250" s="19"/>
    </row>
    <row r="251" spans="1:8" ht="15" customHeight="1" x14ac:dyDescent="0.15">
      <c r="A251" s="63"/>
      <c r="B251" s="78" t="s">
        <v>3</v>
      </c>
      <c r="C251" s="18" t="s">
        <v>1624</v>
      </c>
      <c r="D251" s="247"/>
      <c r="E251" s="18" t="s">
        <v>1625</v>
      </c>
      <c r="F251" s="247" t="str">
        <f>IF(wskakunin_dairi4_NAME="", "", wskakunin_dairi4_NAME)</f>
        <v/>
      </c>
      <c r="H251" s="19"/>
    </row>
    <row r="252" spans="1:8" ht="15" customHeight="1" x14ac:dyDescent="0.15">
      <c r="A252" s="63"/>
      <c r="B252" s="78" t="s">
        <v>41</v>
      </c>
      <c r="C252" s="18" t="s">
        <v>1626</v>
      </c>
      <c r="D252" s="247"/>
      <c r="E252" s="18" t="s">
        <v>1627</v>
      </c>
      <c r="F252" s="247" t="str">
        <f>IF(wskakunin_dairi4_NAME_KANA="", "", wskakunin_dairi4_NAME_KANA)</f>
        <v/>
      </c>
      <c r="H252" s="19"/>
    </row>
    <row r="253" spans="1:8" ht="15" customHeight="1" x14ac:dyDescent="0.15">
      <c r="A253" s="63"/>
      <c r="B253" s="78" t="s">
        <v>542</v>
      </c>
      <c r="C253" s="18" t="s">
        <v>1628</v>
      </c>
      <c r="D253" s="247"/>
      <c r="E253" s="18" t="s">
        <v>1629</v>
      </c>
      <c r="F253" s="247" t="str">
        <f>IF(wskakunin_dairi4_JIMU__sikaku="", "", wskakunin_dairi4_JIMU__sikaku)</f>
        <v/>
      </c>
      <c r="H253" s="19"/>
    </row>
    <row r="254" spans="1:8" ht="15" customHeight="1" x14ac:dyDescent="0.15">
      <c r="A254" s="63"/>
      <c r="B254" s="78" t="s">
        <v>34</v>
      </c>
      <c r="C254" s="18" t="s">
        <v>1630</v>
      </c>
      <c r="D254" s="247"/>
      <c r="E254" s="18" t="s">
        <v>1631</v>
      </c>
      <c r="F254" s="247" t="str">
        <f>IF(wskakunin_dairi4_JIMU_SIKAKU__label="","",wskakunin_dairi4_JIMU_SIKAKU__label)</f>
        <v/>
      </c>
      <c r="H254" s="19"/>
    </row>
    <row r="255" spans="1:8" ht="15" customHeight="1" x14ac:dyDescent="0.15">
      <c r="A255" s="63"/>
      <c r="B255" s="78" t="s">
        <v>543</v>
      </c>
      <c r="C255" s="18" t="s">
        <v>1632</v>
      </c>
      <c r="D255" s="247"/>
      <c r="E255" s="18" t="s">
        <v>1633</v>
      </c>
      <c r="F255" s="247" t="str">
        <f>IF(wskakunin_dairi4_JIMU_TOUROKU_KIKAN__label="","",wskakunin_dairi4_JIMU_TOUROKU_KIKAN__label)</f>
        <v/>
      </c>
      <c r="H255" s="19"/>
    </row>
    <row r="256" spans="1:8" ht="15" customHeight="1" x14ac:dyDescent="0.15">
      <c r="A256" s="63"/>
      <c r="B256" s="78" t="s">
        <v>544</v>
      </c>
      <c r="C256" s="18" t="s">
        <v>1634</v>
      </c>
      <c r="D256" s="249"/>
      <c r="E256" s="18" t="s">
        <v>1635</v>
      </c>
      <c r="F256" s="247" t="str">
        <f>IF(wskakunin_dairi4_JIMU_NO="","",wskakunin_dairi4_JIMU_NO)</f>
        <v/>
      </c>
      <c r="H256" s="19"/>
    </row>
    <row r="257" spans="1:8" ht="15" customHeight="1" x14ac:dyDescent="0.15">
      <c r="A257" s="63"/>
      <c r="B257" s="78" t="s">
        <v>35</v>
      </c>
      <c r="C257" s="18" t="s">
        <v>1636</v>
      </c>
      <c r="D257" s="247"/>
      <c r="E257" s="18" t="s">
        <v>1637</v>
      </c>
      <c r="F257" s="247" t="str">
        <f>IF(wskakunin_dairi4_JIMU_NAME="", "",wskakunin_dairi4_JIMU_NAME)</f>
        <v/>
      </c>
      <c r="H257" s="19"/>
    </row>
    <row r="258" spans="1:8" ht="15" customHeight="1" x14ac:dyDescent="0.15">
      <c r="A258" s="63"/>
      <c r="B258" s="78" t="s">
        <v>8</v>
      </c>
      <c r="C258" s="18" t="s">
        <v>1638</v>
      </c>
      <c r="D258" s="249"/>
      <c r="E258" s="18" t="s">
        <v>1639</v>
      </c>
      <c r="F258" s="247" t="str">
        <f>IF(wskakunin_dairi4_ZIP="", "", wskakunin_dairi4_ZIP)</f>
        <v/>
      </c>
      <c r="H258" s="19"/>
    </row>
    <row r="259" spans="1:8" ht="15" customHeight="1" x14ac:dyDescent="0.15">
      <c r="A259" s="63"/>
      <c r="B259" s="78" t="s">
        <v>11</v>
      </c>
      <c r="C259" s="18" t="s">
        <v>1640</v>
      </c>
      <c r="D259" s="247"/>
      <c r="E259" s="18" t="s">
        <v>1641</v>
      </c>
      <c r="F259" s="247" t="str">
        <f>IF(wskakunin_dairi4__address="", "", wskakunin_dairi4__address)</f>
        <v/>
      </c>
      <c r="H259" s="19"/>
    </row>
    <row r="260" spans="1:8" ht="15" customHeight="1" x14ac:dyDescent="0.15">
      <c r="A260" s="63"/>
      <c r="B260" s="78" t="s">
        <v>10</v>
      </c>
      <c r="C260" s="18" t="s">
        <v>1642</v>
      </c>
      <c r="D260" s="249"/>
      <c r="E260" s="18" t="s">
        <v>1643</v>
      </c>
      <c r="F260" s="247" t="str">
        <f>IF(wskakunin_dairi4_TEL="", "", wskakunin_dairi4_TEL)</f>
        <v/>
      </c>
      <c r="H260" s="19"/>
    </row>
    <row r="261" spans="1:8" ht="15" customHeight="1" x14ac:dyDescent="0.15">
      <c r="A261" s="63"/>
      <c r="B261" s="78" t="s">
        <v>612</v>
      </c>
      <c r="C261" s="18" t="s">
        <v>1644</v>
      </c>
      <c r="D261" s="249"/>
      <c r="E261" s="18" t="s">
        <v>1645</v>
      </c>
      <c r="F261" s="247" t="str">
        <f>IF(wskakunin_dairi4_FAX="", "", wskakunin_dairi4_FAX)</f>
        <v/>
      </c>
      <c r="H261" s="19"/>
    </row>
    <row r="262" spans="1:8" ht="15" customHeight="1" x14ac:dyDescent="0.15">
      <c r="A262" s="63"/>
      <c r="B262" s="115" t="s">
        <v>97</v>
      </c>
      <c r="D262" s="19"/>
      <c r="E262" s="18" t="s">
        <v>1646</v>
      </c>
      <c r="F262" s="247" t="str">
        <f>IF(wskakunin_dairi4_NAME&amp;wskakunin_dairi4_JIMU_NAME="","",IF(wskakunin_dairi4_JIMU_NAME="",wskakunin_dairi4_NAME,wskakunin_dairi4_JIMU_NAME&amp;"　"&amp;wskakunin_dairi4_NAME))</f>
        <v/>
      </c>
      <c r="H262" s="19"/>
    </row>
    <row r="263" spans="1:8" ht="15" customHeight="1" x14ac:dyDescent="0.15">
      <c r="A263" s="64"/>
      <c r="B263" s="116"/>
      <c r="D263" s="36"/>
      <c r="F263" s="19"/>
      <c r="H263" s="19"/>
    </row>
    <row r="264" spans="1:8" ht="15" customHeight="1" x14ac:dyDescent="0.15">
      <c r="A264" s="54" t="s">
        <v>1553</v>
      </c>
      <c r="B264" s="113"/>
      <c r="H264" s="19"/>
    </row>
    <row r="265" spans="1:8" ht="15" customHeight="1" x14ac:dyDescent="0.15">
      <c r="A265" s="114"/>
      <c r="B265" s="78" t="s">
        <v>540</v>
      </c>
      <c r="C265" s="18" t="s">
        <v>1647</v>
      </c>
      <c r="D265" s="247"/>
      <c r="E265" s="18" t="s">
        <v>1648</v>
      </c>
      <c r="F265" s="247" t="str">
        <f>IF(wskakunin_dairi5__sikaku="", "", wskakunin_dairi5__sikaku)</f>
        <v/>
      </c>
      <c r="H265" s="19"/>
    </row>
    <row r="266" spans="1:8" ht="15" customHeight="1" x14ac:dyDescent="0.15">
      <c r="A266" s="114"/>
      <c r="B266" s="78" t="s">
        <v>541</v>
      </c>
      <c r="C266" s="18" t="s">
        <v>1649</v>
      </c>
      <c r="D266" s="247"/>
      <c r="E266" s="18" t="s">
        <v>1650</v>
      </c>
      <c r="F266" s="247" t="str">
        <f>IF(wskakunin_dairi5_SIKAKU__label="","",wskakunin_dairi5_SIKAKU__label)</f>
        <v/>
      </c>
      <c r="H266" s="19"/>
    </row>
    <row r="267" spans="1:8" ht="15" customHeight="1" x14ac:dyDescent="0.15">
      <c r="A267" s="114"/>
      <c r="B267" s="78" t="s">
        <v>536</v>
      </c>
      <c r="C267" s="18" t="s">
        <v>1651</v>
      </c>
      <c r="D267" s="247"/>
      <c r="E267" s="18" t="s">
        <v>1652</v>
      </c>
      <c r="F267" s="247" t="str">
        <f>IF(wskakunin_dairi5_TOUROKU_KIKAN__label="","",wskakunin_dairi5_TOUROKU_KIKAN__label)</f>
        <v/>
      </c>
      <c r="H267" s="19"/>
    </row>
    <row r="268" spans="1:8" ht="15" customHeight="1" x14ac:dyDescent="0.15">
      <c r="A268" s="114"/>
      <c r="B268" s="78" t="s">
        <v>537</v>
      </c>
      <c r="C268" s="18" t="s">
        <v>1653</v>
      </c>
      <c r="D268" s="249"/>
      <c r="E268" s="18" t="s">
        <v>1654</v>
      </c>
      <c r="F268" s="247" t="str">
        <f>IF(wskakunin_dairi5_KENTIKUSI_NO="","",wskakunin_dairi5_KENTIKUSI_NO)</f>
        <v/>
      </c>
      <c r="H268" s="19"/>
    </row>
    <row r="269" spans="1:8" ht="15" customHeight="1" x14ac:dyDescent="0.15">
      <c r="A269" s="63"/>
      <c r="B269" s="78" t="s">
        <v>3</v>
      </c>
      <c r="C269" s="18" t="s">
        <v>1655</v>
      </c>
      <c r="D269" s="247"/>
      <c r="E269" s="18" t="s">
        <v>1656</v>
      </c>
      <c r="F269" s="247" t="str">
        <f>IF(wskakunin_dairi5_NAME="", "", wskakunin_dairi5_NAME)</f>
        <v/>
      </c>
      <c r="H269" s="19"/>
    </row>
    <row r="270" spans="1:8" ht="15" customHeight="1" x14ac:dyDescent="0.15">
      <c r="A270" s="63"/>
      <c r="B270" s="78" t="s">
        <v>41</v>
      </c>
      <c r="C270" s="18" t="s">
        <v>1657</v>
      </c>
      <c r="D270" s="247"/>
      <c r="E270" s="18" t="s">
        <v>1658</v>
      </c>
      <c r="F270" s="247" t="str">
        <f>IF(wskakunin_dairi5_NAME_KANA="", "", wskakunin_dairi5_NAME_KANA)</f>
        <v/>
      </c>
      <c r="H270" s="19"/>
    </row>
    <row r="271" spans="1:8" ht="15" customHeight="1" x14ac:dyDescent="0.15">
      <c r="A271" s="63"/>
      <c r="B271" s="78" t="s">
        <v>542</v>
      </c>
      <c r="C271" s="18" t="s">
        <v>1659</v>
      </c>
      <c r="D271" s="247"/>
      <c r="E271" s="18" t="s">
        <v>1660</v>
      </c>
      <c r="F271" s="247" t="str">
        <f>IF(wskakunin_dairi5_JIMU__sikaku="", "", wskakunin_dairi5_JIMU__sikaku)</f>
        <v/>
      </c>
      <c r="H271" s="19"/>
    </row>
    <row r="272" spans="1:8" ht="15" customHeight="1" x14ac:dyDescent="0.15">
      <c r="A272" s="63"/>
      <c r="B272" s="78" t="s">
        <v>34</v>
      </c>
      <c r="C272" s="18" t="s">
        <v>1661</v>
      </c>
      <c r="D272" s="247"/>
      <c r="E272" s="18" t="s">
        <v>1662</v>
      </c>
      <c r="F272" s="247" t="str">
        <f>IF(wskakunin_dairi5_JIMU_SIKAKU__label="","",wskakunin_dairi5_JIMU_SIKAKU__label)</f>
        <v/>
      </c>
      <c r="H272" s="19"/>
    </row>
    <row r="273" spans="1:8" ht="15" customHeight="1" x14ac:dyDescent="0.15">
      <c r="A273" s="63"/>
      <c r="B273" s="78" t="s">
        <v>543</v>
      </c>
      <c r="C273" s="18" t="s">
        <v>1663</v>
      </c>
      <c r="D273" s="247"/>
      <c r="E273" s="18" t="s">
        <v>1664</v>
      </c>
      <c r="F273" s="247" t="str">
        <f>IF(wskakunin_dairi5_JIMU_TOUROKU_KIKAN__label="","",wskakunin_dairi5_JIMU_TOUROKU_KIKAN__label)</f>
        <v/>
      </c>
      <c r="H273" s="19"/>
    </row>
    <row r="274" spans="1:8" ht="15" customHeight="1" x14ac:dyDescent="0.15">
      <c r="A274" s="63"/>
      <c r="B274" s="78" t="s">
        <v>544</v>
      </c>
      <c r="C274" s="18" t="s">
        <v>1665</v>
      </c>
      <c r="D274" s="249"/>
      <c r="E274" s="18" t="s">
        <v>1666</v>
      </c>
      <c r="F274" s="247" t="str">
        <f>IF(wskakunin_dairi5_JIMU_NO="","",wskakunin_dairi5_JIMU_NO)</f>
        <v/>
      </c>
      <c r="H274" s="19"/>
    </row>
    <row r="275" spans="1:8" ht="15" customHeight="1" x14ac:dyDescent="0.15">
      <c r="A275" s="63"/>
      <c r="B275" s="78" t="s">
        <v>35</v>
      </c>
      <c r="C275" s="18" t="s">
        <v>1667</v>
      </c>
      <c r="D275" s="247"/>
      <c r="E275" s="18" t="s">
        <v>1668</v>
      </c>
      <c r="F275" s="247" t="str">
        <f>IF(wskakunin_dairi5_JIMU_NAME="", "",wskakunin_dairi5_JIMU_NAME)</f>
        <v/>
      </c>
      <c r="H275" s="19"/>
    </row>
    <row r="276" spans="1:8" ht="15" customHeight="1" x14ac:dyDescent="0.15">
      <c r="A276" s="63"/>
      <c r="B276" s="78" t="s">
        <v>8</v>
      </c>
      <c r="C276" s="18" t="s">
        <v>1669</v>
      </c>
      <c r="D276" s="249"/>
      <c r="E276" s="18" t="s">
        <v>1670</v>
      </c>
      <c r="F276" s="247" t="str">
        <f>IF(wskakunin_dairi5_ZIP="", "", wskakunin_dairi5_ZIP)</f>
        <v/>
      </c>
      <c r="H276" s="19"/>
    </row>
    <row r="277" spans="1:8" ht="15" customHeight="1" x14ac:dyDescent="0.15">
      <c r="A277" s="63"/>
      <c r="B277" s="78" t="s">
        <v>11</v>
      </c>
      <c r="C277" s="18" t="s">
        <v>1671</v>
      </c>
      <c r="D277" s="247"/>
      <c r="E277" s="18" t="s">
        <v>1672</v>
      </c>
      <c r="F277" s="247" t="str">
        <f>IF(wskakunin_dairi5__address="", "", wskakunin_dairi5__address)</f>
        <v/>
      </c>
      <c r="H277" s="19"/>
    </row>
    <row r="278" spans="1:8" ht="15" customHeight="1" x14ac:dyDescent="0.15">
      <c r="A278" s="63"/>
      <c r="B278" s="78" t="s">
        <v>10</v>
      </c>
      <c r="C278" s="18" t="s">
        <v>1673</v>
      </c>
      <c r="D278" s="249"/>
      <c r="E278" s="18" t="s">
        <v>1674</v>
      </c>
      <c r="F278" s="247" t="str">
        <f>IF(wskakunin_dairi5_TEL="", "", wskakunin_dairi5_TEL)</f>
        <v/>
      </c>
      <c r="H278" s="19"/>
    </row>
    <row r="279" spans="1:8" ht="15" customHeight="1" x14ac:dyDescent="0.15">
      <c r="A279" s="63"/>
      <c r="B279" s="78" t="s">
        <v>612</v>
      </c>
      <c r="C279" s="18" t="s">
        <v>1675</v>
      </c>
      <c r="D279" s="249"/>
      <c r="E279" s="18" t="s">
        <v>1676</v>
      </c>
      <c r="F279" s="247" t="str">
        <f>IF(wskakunin_dairi5_FAX="", "", wskakunin_dairi5_FAX)</f>
        <v/>
      </c>
      <c r="H279" s="19"/>
    </row>
    <row r="280" spans="1:8" ht="15" customHeight="1" x14ac:dyDescent="0.15">
      <c r="A280" s="63"/>
      <c r="B280" s="115" t="s">
        <v>97</v>
      </c>
      <c r="C280" s="19"/>
      <c r="D280" s="19"/>
      <c r="E280" s="18" t="s">
        <v>1677</v>
      </c>
      <c r="F280" s="247" t="str">
        <f>IF(wskakunin_dairi5_NAME&amp;wskakunin_dairi5_JIMU_NAME="","",IF(wskakunin_dairi5_JIMU_NAME="",wskakunin_dairi5_NAME,wskakunin_dairi5_JIMU_NAME&amp;"　"&amp;wskakunin_dairi5_NAME))</f>
        <v/>
      </c>
      <c r="H280" s="19"/>
    </row>
    <row r="281" spans="1:8" ht="15" customHeight="1" x14ac:dyDescent="0.15">
      <c r="A281" s="64"/>
      <c r="B281" s="116"/>
      <c r="D281" s="36"/>
      <c r="F281" s="19"/>
      <c r="G281" s="19"/>
      <c r="H281" s="19"/>
    </row>
    <row r="282" spans="1:8" ht="15" customHeight="1" x14ac:dyDescent="0.15">
      <c r="A282" s="1" t="s">
        <v>580</v>
      </c>
      <c r="B282" s="51"/>
      <c r="G282" s="19"/>
      <c r="H282" s="19"/>
    </row>
    <row r="283" spans="1:8" ht="15" customHeight="1" x14ac:dyDescent="0.15">
      <c r="A283" s="29"/>
      <c r="B283" s="79" t="s">
        <v>540</v>
      </c>
      <c r="C283" s="18" t="s">
        <v>78</v>
      </c>
      <c r="D283" s="155"/>
      <c r="E283" s="18" t="s">
        <v>574</v>
      </c>
      <c r="F283" s="155" t="str">
        <f>IF(wskakunin_sekkei1__sikaku="", "", wskakunin_sekkei1__sikaku)</f>
        <v/>
      </c>
      <c r="G283" s="19"/>
      <c r="H283" s="19"/>
    </row>
    <row r="284" spans="1:8" ht="15" customHeight="1" x14ac:dyDescent="0.15">
      <c r="A284" s="34"/>
      <c r="B284" s="79" t="s">
        <v>541</v>
      </c>
      <c r="C284" s="18" t="s">
        <v>572</v>
      </c>
      <c r="D284" s="155"/>
      <c r="E284" s="18" t="s">
        <v>575</v>
      </c>
      <c r="F284" s="155" t="str">
        <f>IF(wskakunin_sekkei1_SIKAKU__label="","",wskakunin_sekkei1_SIKAKU__label)</f>
        <v/>
      </c>
      <c r="G284" s="19"/>
      <c r="H284" s="19"/>
    </row>
    <row r="285" spans="1:8" ht="15" customHeight="1" x14ac:dyDescent="0.15">
      <c r="A285" s="34"/>
      <c r="B285" s="79" t="s">
        <v>536</v>
      </c>
      <c r="C285" s="18" t="s">
        <v>1309</v>
      </c>
      <c r="D285" s="155"/>
      <c r="E285" s="18" t="s">
        <v>576</v>
      </c>
      <c r="F285" s="155" t="str">
        <f>IF(wskakunin_sekkei1_TOUROKU_KIKAN__label="","",wskakunin_sekkei1_TOUROKU_KIKAN__label)</f>
        <v/>
      </c>
      <c r="G285" s="19"/>
      <c r="H285" s="19"/>
    </row>
    <row r="286" spans="1:8" ht="15" customHeight="1" x14ac:dyDescent="0.15">
      <c r="A286" s="34"/>
      <c r="B286" s="79" t="s">
        <v>537</v>
      </c>
      <c r="C286" s="18" t="s">
        <v>573</v>
      </c>
      <c r="D286" s="241"/>
      <c r="E286" s="18" t="s">
        <v>577</v>
      </c>
      <c r="F286" s="155" t="str">
        <f>IF(wskakunin_sekkei1_KENTIKUSI_NO="","",wskakunin_sekkei1_KENTIKUSI_NO)</f>
        <v/>
      </c>
      <c r="G286" s="19"/>
      <c r="H286" s="19"/>
    </row>
    <row r="287" spans="1:8" ht="15" customHeight="1" x14ac:dyDescent="0.15">
      <c r="A287" s="46"/>
      <c r="B287" s="79" t="s">
        <v>3</v>
      </c>
      <c r="C287" s="18" t="s">
        <v>79</v>
      </c>
      <c r="D287" s="155"/>
      <c r="E287" s="18" t="s">
        <v>106</v>
      </c>
      <c r="F287" s="155" t="str">
        <f>IF(wskakunin_sekkei1_NAME="", "", wskakunin_sekkei1_NAME)</f>
        <v/>
      </c>
      <c r="G287" s="19"/>
      <c r="H287" s="19"/>
    </row>
    <row r="288" spans="1:8" ht="15" customHeight="1" x14ac:dyDescent="0.15">
      <c r="A288" s="46"/>
      <c r="B288" s="79" t="s">
        <v>542</v>
      </c>
      <c r="C288" s="18" t="s">
        <v>567</v>
      </c>
      <c r="D288" s="155"/>
      <c r="E288" s="18" t="s">
        <v>107</v>
      </c>
      <c r="F288" s="155" t="str">
        <f>IF(wskakunin_sekkei1_JIMU__sikaku="", "", wskakunin_sekkei1_JIMU__sikaku)</f>
        <v/>
      </c>
      <c r="G288" s="19"/>
      <c r="H288" s="19"/>
    </row>
    <row r="289" spans="1:8" ht="15" customHeight="1" x14ac:dyDescent="0.15">
      <c r="A289" s="46"/>
      <c r="B289" s="79" t="s">
        <v>34</v>
      </c>
      <c r="C289" s="18" t="s">
        <v>568</v>
      </c>
      <c r="D289" s="155"/>
      <c r="E289" s="18" t="s">
        <v>1397</v>
      </c>
      <c r="F289" s="155" t="str">
        <f>IF(wskakunin_sekkei1_JIMU_SIKAKU__label="","",wskakunin_sekkei1_JIMU_SIKAKU__label)</f>
        <v/>
      </c>
      <c r="G289" s="19"/>
      <c r="H289" s="19"/>
    </row>
    <row r="290" spans="1:8" ht="15" customHeight="1" x14ac:dyDescent="0.15">
      <c r="A290" s="46"/>
      <c r="B290" s="79" t="s">
        <v>543</v>
      </c>
      <c r="C290" s="18" t="s">
        <v>1310</v>
      </c>
      <c r="D290" s="155"/>
      <c r="E290" s="18" t="s">
        <v>570</v>
      </c>
      <c r="F290" s="155" t="str">
        <f>IF(wskakunin_sekkei1_JIMU_TOUROKU_KIKAN__label="","",wskakunin_sekkei1_JIMU_TOUROKU_KIKAN__label)</f>
        <v/>
      </c>
      <c r="G290" s="19"/>
      <c r="H290" s="19"/>
    </row>
    <row r="291" spans="1:8" ht="15" customHeight="1" x14ac:dyDescent="0.15">
      <c r="A291" s="46"/>
      <c r="B291" s="79" t="s">
        <v>544</v>
      </c>
      <c r="C291" s="18" t="s">
        <v>569</v>
      </c>
      <c r="D291" s="241"/>
      <c r="E291" s="18" t="s">
        <v>571</v>
      </c>
      <c r="F291" s="155" t="str">
        <f>IF(wskakunin_sekkei1_JIMU_NO="","",wskakunin_sekkei1_JIMU_NO)</f>
        <v/>
      </c>
      <c r="G291" s="19"/>
      <c r="H291" s="19"/>
    </row>
    <row r="292" spans="1:8" ht="15" customHeight="1" x14ac:dyDescent="0.15">
      <c r="A292" s="62"/>
      <c r="B292" s="79" t="s">
        <v>35</v>
      </c>
      <c r="C292" s="18" t="s">
        <v>80</v>
      </c>
      <c r="D292" s="155"/>
      <c r="E292" s="18" t="s">
        <v>108</v>
      </c>
      <c r="F292" s="155" t="str">
        <f>IF(wskakunin_sekkei1_JIMU_NAME="", "", wskakunin_sekkei1_JIMU_NAME)</f>
        <v/>
      </c>
      <c r="G292" s="19"/>
      <c r="H292" s="19"/>
    </row>
    <row r="293" spans="1:8" ht="15" customHeight="1" x14ac:dyDescent="0.15">
      <c r="A293" s="46"/>
      <c r="B293" s="79" t="s">
        <v>560</v>
      </c>
      <c r="D293" s="36"/>
      <c r="E293" s="18" t="s">
        <v>561</v>
      </c>
      <c r="F293" s="155" t="str">
        <f>wskakunin_sekkei1_JIMU_NAME&amp;" "&amp;wskakunin_sekkei1_NAME</f>
        <v xml:space="preserve"> </v>
      </c>
      <c r="G293" s="19"/>
      <c r="H293" s="19"/>
    </row>
    <row r="294" spans="1:8" ht="15" customHeight="1" x14ac:dyDescent="0.15">
      <c r="A294" s="62"/>
      <c r="B294" s="79" t="s">
        <v>8</v>
      </c>
      <c r="C294" s="18" t="s">
        <v>81</v>
      </c>
      <c r="D294" s="241"/>
      <c r="E294" s="18" t="s">
        <v>109</v>
      </c>
      <c r="F294" s="155" t="str">
        <f>IF(wskakunin_sekkei1_ZIP="", "", wskakunin_sekkei1_ZIP)</f>
        <v/>
      </c>
      <c r="G294" s="19"/>
      <c r="H294" s="19" t="s">
        <v>578</v>
      </c>
    </row>
    <row r="295" spans="1:8" ht="15" customHeight="1" x14ac:dyDescent="0.15">
      <c r="A295" s="62"/>
      <c r="B295" s="79" t="s">
        <v>11</v>
      </c>
      <c r="C295" s="18" t="s">
        <v>655</v>
      </c>
      <c r="D295" s="155"/>
      <c r="E295" s="18" t="s">
        <v>656</v>
      </c>
      <c r="F295" s="155" t="str">
        <f>IF(wskakunin_sekkei1__address="", "", wskakunin_sekkei1__address)</f>
        <v/>
      </c>
      <c r="G295" s="19"/>
      <c r="H295" s="19"/>
    </row>
    <row r="296" spans="1:8" ht="15" customHeight="1" x14ac:dyDescent="0.15">
      <c r="A296" s="62"/>
      <c r="B296" s="79" t="s">
        <v>10</v>
      </c>
      <c r="C296" s="18" t="s">
        <v>657</v>
      </c>
      <c r="D296" s="241"/>
      <c r="E296" s="18" t="s">
        <v>658</v>
      </c>
      <c r="F296" s="155" t="str">
        <f>IF(wskakunin_sekkei1_TEL="", "", wskakunin_sekkei1_TEL)</f>
        <v/>
      </c>
      <c r="G296" s="19"/>
      <c r="H296" s="19"/>
    </row>
    <row r="297" spans="1:8" ht="15" customHeight="1" x14ac:dyDescent="0.15">
      <c r="A297" s="62"/>
      <c r="B297" s="79" t="s">
        <v>579</v>
      </c>
      <c r="C297" s="18" t="s">
        <v>659</v>
      </c>
      <c r="D297" s="241"/>
      <c r="E297" s="18" t="s">
        <v>660</v>
      </c>
      <c r="F297" s="155" t="str">
        <f>IF(wskakunin_sekkei1_DOC="","",wskakunin_sekkei1_DOC)</f>
        <v/>
      </c>
      <c r="G297" s="19"/>
      <c r="H297" s="19"/>
    </row>
    <row r="298" spans="1:8" ht="15" customHeight="1" x14ac:dyDescent="0.15">
      <c r="A298" s="62"/>
      <c r="B298" s="87"/>
      <c r="G298" s="19"/>
      <c r="H298" s="19"/>
    </row>
    <row r="299" spans="1:8" ht="15" customHeight="1" x14ac:dyDescent="0.15">
      <c r="A299" s="1" t="s">
        <v>581</v>
      </c>
      <c r="B299" s="51"/>
      <c r="G299" s="19"/>
      <c r="H299" s="19"/>
    </row>
    <row r="300" spans="1:8" ht="15" customHeight="1" x14ac:dyDescent="0.15">
      <c r="A300" s="29"/>
      <c r="B300" s="79" t="s">
        <v>540</v>
      </c>
      <c r="C300" s="18" t="s">
        <v>661</v>
      </c>
      <c r="D300" s="155"/>
      <c r="E300" s="18" t="s">
        <v>662</v>
      </c>
      <c r="F300" s="155" t="str">
        <f>IF(wskakunin_sekkei2__sikaku="", "", wskakunin_sekkei2__sikaku)</f>
        <v/>
      </c>
      <c r="G300" s="19"/>
      <c r="H300" s="19"/>
    </row>
    <row r="301" spans="1:8" ht="15" customHeight="1" x14ac:dyDescent="0.15">
      <c r="A301" s="34"/>
      <c r="B301" s="79" t="s">
        <v>541</v>
      </c>
      <c r="C301" s="18" t="s">
        <v>663</v>
      </c>
      <c r="D301" s="155"/>
      <c r="E301" s="18" t="s">
        <v>664</v>
      </c>
      <c r="F301" s="155" t="str">
        <f>IF(wskakunin_sekkei2_SIKAKU__label="","",wskakunin_sekkei2_SIKAKU__label)</f>
        <v/>
      </c>
      <c r="G301" s="19"/>
      <c r="H301" s="19"/>
    </row>
    <row r="302" spans="1:8" ht="15" customHeight="1" x14ac:dyDescent="0.15">
      <c r="A302" s="34"/>
      <c r="B302" s="79" t="s">
        <v>536</v>
      </c>
      <c r="C302" s="18" t="s">
        <v>1311</v>
      </c>
      <c r="D302" s="155"/>
      <c r="E302" s="18" t="s">
        <v>665</v>
      </c>
      <c r="F302" s="155" t="str">
        <f>IF(wskakunin_sekkei2_TOUROKU_KIKAN__label="","",wskakunin_sekkei2_TOUROKU_KIKAN__label)</f>
        <v/>
      </c>
      <c r="G302" s="19"/>
      <c r="H302" s="19"/>
    </row>
    <row r="303" spans="1:8" ht="15" customHeight="1" x14ac:dyDescent="0.15">
      <c r="A303" s="34"/>
      <c r="B303" s="79" t="s">
        <v>537</v>
      </c>
      <c r="C303" s="18" t="s">
        <v>666</v>
      </c>
      <c r="D303" s="241"/>
      <c r="E303" s="18" t="s">
        <v>667</v>
      </c>
      <c r="F303" s="155" t="str">
        <f>IF(wskakunin_sekkei2_KENTIKUSI_NO="","",wskakunin_sekkei2_KENTIKUSI_NO)</f>
        <v/>
      </c>
      <c r="G303" s="19"/>
      <c r="H303" s="19"/>
    </row>
    <row r="304" spans="1:8" ht="15" customHeight="1" x14ac:dyDescent="0.15">
      <c r="A304" s="46"/>
      <c r="B304" s="79" t="s">
        <v>3</v>
      </c>
      <c r="C304" s="18" t="s">
        <v>668</v>
      </c>
      <c r="D304" s="155"/>
      <c r="E304" s="18" t="s">
        <v>669</v>
      </c>
      <c r="F304" s="155" t="str">
        <f>IF(wskakunin_sekkei2_NAME="", "", wskakunin_sekkei2_NAME)</f>
        <v/>
      </c>
      <c r="G304" s="19"/>
      <c r="H304" s="19"/>
    </row>
    <row r="305" spans="1:8" ht="15" customHeight="1" x14ac:dyDescent="0.15">
      <c r="A305" s="46"/>
      <c r="B305" s="79" t="s">
        <v>542</v>
      </c>
      <c r="C305" s="18" t="s">
        <v>670</v>
      </c>
      <c r="D305" s="155"/>
      <c r="E305" s="18" t="s">
        <v>671</v>
      </c>
      <c r="F305" s="155" t="str">
        <f>IF(wskakunin_sekkei2_JIMU__sikaku="", "", wskakunin_sekkei2_JIMU__sikaku)</f>
        <v/>
      </c>
      <c r="G305" s="19"/>
      <c r="H305" s="19"/>
    </row>
    <row r="306" spans="1:8" ht="15" customHeight="1" x14ac:dyDescent="0.15">
      <c r="A306" s="46"/>
      <c r="B306" s="79" t="s">
        <v>34</v>
      </c>
      <c r="C306" s="18" t="s">
        <v>672</v>
      </c>
      <c r="D306" s="155"/>
      <c r="E306" s="18" t="s">
        <v>1398</v>
      </c>
      <c r="F306" s="155" t="str">
        <f>IF(wskakunin_sekkei2_JIMU_SIKAKU__label="","",wskakunin_sekkei2_JIMU_SIKAKU__label)</f>
        <v/>
      </c>
      <c r="G306" s="19"/>
      <c r="H306" s="19"/>
    </row>
    <row r="307" spans="1:8" ht="15" customHeight="1" x14ac:dyDescent="0.15">
      <c r="A307" s="46"/>
      <c r="B307" s="79" t="s">
        <v>543</v>
      </c>
      <c r="C307" s="18" t="s">
        <v>1312</v>
      </c>
      <c r="D307" s="155"/>
      <c r="E307" s="18" t="s">
        <v>673</v>
      </c>
      <c r="F307" s="155" t="str">
        <f>IF(wskakunin_sekkei2_JIMU_TOUROKU_KIKAN__label="","",wskakunin_sekkei2_JIMU_TOUROKU_KIKAN__label)</f>
        <v/>
      </c>
      <c r="G307" s="19"/>
      <c r="H307" s="19"/>
    </row>
    <row r="308" spans="1:8" ht="15" customHeight="1" x14ac:dyDescent="0.15">
      <c r="A308" s="46"/>
      <c r="B308" s="79" t="s">
        <v>544</v>
      </c>
      <c r="C308" s="18" t="s">
        <v>674</v>
      </c>
      <c r="D308" s="241"/>
      <c r="E308" s="18" t="s">
        <v>675</v>
      </c>
      <c r="F308" s="155" t="str">
        <f>IF(wskakunin_sekkei2_JIMU_NO="","",wskakunin_sekkei2_JIMU_NO)</f>
        <v/>
      </c>
      <c r="G308" s="19"/>
      <c r="H308" s="19"/>
    </row>
    <row r="309" spans="1:8" ht="15" customHeight="1" x14ac:dyDescent="0.15">
      <c r="A309" s="62"/>
      <c r="B309" s="79" t="s">
        <v>35</v>
      </c>
      <c r="C309" s="18" t="s">
        <v>676</v>
      </c>
      <c r="D309" s="155"/>
      <c r="E309" s="18" t="s">
        <v>677</v>
      </c>
      <c r="F309" s="155" t="str">
        <f>IF(wskakunin_sekkei2_JIMU_NAME="", "", wskakunin_sekkei2_JIMU_NAME)</f>
        <v/>
      </c>
      <c r="G309" s="19"/>
      <c r="H309" s="19"/>
    </row>
    <row r="310" spans="1:8" ht="15" customHeight="1" x14ac:dyDescent="0.15">
      <c r="A310" s="46"/>
      <c r="B310" s="79" t="s">
        <v>560</v>
      </c>
      <c r="D310" s="36"/>
      <c r="E310" s="18" t="s">
        <v>678</v>
      </c>
      <c r="F310" s="155" t="str">
        <f>wskakunin_sekkei2_JIMU_NAME&amp;" "&amp;wskakunin_sekkei2_NAME</f>
        <v xml:space="preserve"> </v>
      </c>
      <c r="G310" s="19"/>
      <c r="H310" s="19"/>
    </row>
    <row r="311" spans="1:8" ht="15" customHeight="1" x14ac:dyDescent="0.15">
      <c r="A311" s="62"/>
      <c r="B311" s="79" t="s">
        <v>8</v>
      </c>
      <c r="C311" s="18" t="s">
        <v>679</v>
      </c>
      <c r="D311" s="241"/>
      <c r="E311" s="18" t="s">
        <v>680</v>
      </c>
      <c r="F311" s="155" t="str">
        <f>IF(wskakunin_sekkei2_ZIP="", "", wskakunin_sekkei2_ZIP)</f>
        <v/>
      </c>
      <c r="G311" s="19"/>
      <c r="H311" s="19" t="s">
        <v>578</v>
      </c>
    </row>
    <row r="312" spans="1:8" ht="15" customHeight="1" x14ac:dyDescent="0.15">
      <c r="A312" s="62"/>
      <c r="B312" s="79" t="s">
        <v>11</v>
      </c>
      <c r="C312" s="18" t="s">
        <v>681</v>
      </c>
      <c r="D312" s="155"/>
      <c r="E312" s="18" t="s">
        <v>682</v>
      </c>
      <c r="F312" s="155" t="str">
        <f>IF(wskakunin_sekkei2__address="", "", wskakunin_sekkei2__address)</f>
        <v/>
      </c>
      <c r="G312" s="19"/>
      <c r="H312" s="19"/>
    </row>
    <row r="313" spans="1:8" ht="15" customHeight="1" x14ac:dyDescent="0.15">
      <c r="A313" s="62"/>
      <c r="B313" s="79" t="s">
        <v>10</v>
      </c>
      <c r="C313" s="18" t="s">
        <v>683</v>
      </c>
      <c r="D313" s="241"/>
      <c r="E313" s="18" t="s">
        <v>684</v>
      </c>
      <c r="F313" s="155" t="str">
        <f>IF(wskakunin_sekkei2_TEL="", "", wskakunin_sekkei2_TEL)</f>
        <v/>
      </c>
      <c r="G313" s="19"/>
      <c r="H313" s="19"/>
    </row>
    <row r="314" spans="1:8" ht="15" customHeight="1" x14ac:dyDescent="0.15">
      <c r="A314" s="62"/>
      <c r="B314" s="79" t="s">
        <v>579</v>
      </c>
      <c r="C314" s="18" t="s">
        <v>685</v>
      </c>
      <c r="D314" s="241"/>
      <c r="E314" s="18" t="s">
        <v>686</v>
      </c>
      <c r="F314" s="155" t="str">
        <f>IF(wskakunin_sekkei2_DOC="","",wskakunin_sekkei2_DOC)</f>
        <v/>
      </c>
      <c r="G314" s="19"/>
      <c r="H314" s="19"/>
    </row>
    <row r="315" spans="1:8" ht="15" customHeight="1" x14ac:dyDescent="0.15">
      <c r="A315" s="62"/>
      <c r="B315" s="87"/>
      <c r="G315" s="19"/>
      <c r="H315" s="19"/>
    </row>
    <row r="316" spans="1:8" ht="15" customHeight="1" x14ac:dyDescent="0.15">
      <c r="A316" s="1" t="s">
        <v>582</v>
      </c>
      <c r="B316" s="51"/>
      <c r="G316" s="19"/>
      <c r="H316" s="19"/>
    </row>
    <row r="317" spans="1:8" ht="15" customHeight="1" x14ac:dyDescent="0.15">
      <c r="A317" s="29"/>
      <c r="B317" s="79" t="s">
        <v>540</v>
      </c>
      <c r="C317" s="18" t="s">
        <v>687</v>
      </c>
      <c r="D317" s="155"/>
      <c r="E317" s="18" t="s">
        <v>688</v>
      </c>
      <c r="F317" s="155" t="str">
        <f>IF(wskakunin_sekkei3__sikaku="", "", wskakunin_sekkei3__sikaku)</f>
        <v/>
      </c>
      <c r="G317" s="19"/>
      <c r="H317" s="19"/>
    </row>
    <row r="318" spans="1:8" ht="15" customHeight="1" x14ac:dyDescent="0.15">
      <c r="A318" s="34"/>
      <c r="B318" s="79" t="s">
        <v>541</v>
      </c>
      <c r="C318" s="18" t="s">
        <v>689</v>
      </c>
      <c r="D318" s="155"/>
      <c r="E318" s="18" t="s">
        <v>690</v>
      </c>
      <c r="F318" s="155" t="str">
        <f>IF(wskakunin_sekkei3_SIKAKU__label="","",wskakunin_sekkei3_SIKAKU__label)</f>
        <v/>
      </c>
      <c r="G318" s="19"/>
      <c r="H318" s="19"/>
    </row>
    <row r="319" spans="1:8" ht="15" customHeight="1" x14ac:dyDescent="0.15">
      <c r="A319" s="34"/>
      <c r="B319" s="79" t="s">
        <v>536</v>
      </c>
      <c r="C319" s="18" t="s">
        <v>1313</v>
      </c>
      <c r="D319" s="155"/>
      <c r="E319" s="18" t="s">
        <v>691</v>
      </c>
      <c r="F319" s="155" t="str">
        <f>IF(wskakunin_sekkei3_TOUROKU_KIKAN__label="","",wskakunin_sekkei3_TOUROKU_KIKAN__label)</f>
        <v/>
      </c>
      <c r="G319" s="19"/>
      <c r="H319" s="19"/>
    </row>
    <row r="320" spans="1:8" ht="15" customHeight="1" x14ac:dyDescent="0.15">
      <c r="A320" s="34"/>
      <c r="B320" s="79" t="s">
        <v>537</v>
      </c>
      <c r="C320" s="18" t="s">
        <v>692</v>
      </c>
      <c r="D320" s="241"/>
      <c r="E320" s="18" t="s">
        <v>693</v>
      </c>
      <c r="F320" s="155" t="str">
        <f>IF(wskakunin_sekkei3_KENTIKUSI_NO="","",wskakunin_sekkei3_KENTIKUSI_NO)</f>
        <v/>
      </c>
      <c r="G320" s="19"/>
      <c r="H320" s="19"/>
    </row>
    <row r="321" spans="1:8" ht="15" customHeight="1" x14ac:dyDescent="0.15">
      <c r="A321" s="46"/>
      <c r="B321" s="79" t="s">
        <v>3</v>
      </c>
      <c r="C321" s="18" t="s">
        <v>694</v>
      </c>
      <c r="D321" s="155"/>
      <c r="E321" s="18" t="s">
        <v>695</v>
      </c>
      <c r="F321" s="155" t="str">
        <f>IF(wskakunin_sekkei3_NAME="", "", wskakunin_sekkei3_NAME)</f>
        <v/>
      </c>
      <c r="G321" s="19"/>
      <c r="H321" s="19"/>
    </row>
    <row r="322" spans="1:8" ht="15" customHeight="1" x14ac:dyDescent="0.15">
      <c r="A322" s="46"/>
      <c r="B322" s="79" t="s">
        <v>542</v>
      </c>
      <c r="C322" s="18" t="s">
        <v>696</v>
      </c>
      <c r="D322" s="155"/>
      <c r="E322" s="18" t="s">
        <v>697</v>
      </c>
      <c r="F322" s="155" t="str">
        <f>IF(wskakunin_sekkei3_JIMU__sikaku="", "", wskakunin_sekkei3_JIMU__sikaku)</f>
        <v/>
      </c>
      <c r="G322" s="19"/>
      <c r="H322" s="19"/>
    </row>
    <row r="323" spans="1:8" ht="15" customHeight="1" x14ac:dyDescent="0.15">
      <c r="A323" s="46"/>
      <c r="B323" s="79" t="s">
        <v>34</v>
      </c>
      <c r="C323" s="18" t="s">
        <v>698</v>
      </c>
      <c r="D323" s="155"/>
      <c r="E323" s="18" t="s">
        <v>1399</v>
      </c>
      <c r="F323" s="155" t="str">
        <f>IF(wskakunin_sekkei3_JIMU_SIKAKU__label="","",wskakunin_sekkei3_JIMU_SIKAKU__label)</f>
        <v/>
      </c>
      <c r="G323" s="19"/>
      <c r="H323" s="19"/>
    </row>
    <row r="324" spans="1:8" ht="15" customHeight="1" x14ac:dyDescent="0.15">
      <c r="A324" s="46"/>
      <c r="B324" s="79" t="s">
        <v>543</v>
      </c>
      <c r="C324" s="18" t="s">
        <v>1314</v>
      </c>
      <c r="D324" s="155"/>
      <c r="E324" s="18" t="s">
        <v>699</v>
      </c>
      <c r="F324" s="155" t="str">
        <f>IF(wskakunin_sekkei3_JIMU_TOUROKU_KIKAN__label="","",wskakunin_sekkei3_JIMU_TOUROKU_KIKAN__label)</f>
        <v/>
      </c>
      <c r="G324" s="19"/>
      <c r="H324" s="19"/>
    </row>
    <row r="325" spans="1:8" ht="15" customHeight="1" x14ac:dyDescent="0.15">
      <c r="A325" s="46"/>
      <c r="B325" s="79" t="s">
        <v>544</v>
      </c>
      <c r="C325" s="18" t="s">
        <v>700</v>
      </c>
      <c r="D325" s="241"/>
      <c r="E325" s="18" t="s">
        <v>701</v>
      </c>
      <c r="F325" s="155" t="str">
        <f>IF(wskakunin_sekkei3_JIMU_NO="","",wskakunin_sekkei3_JIMU_NO)</f>
        <v/>
      </c>
      <c r="G325" s="19"/>
      <c r="H325" s="19"/>
    </row>
    <row r="326" spans="1:8" ht="15" customHeight="1" x14ac:dyDescent="0.15">
      <c r="A326" s="62"/>
      <c r="B326" s="79" t="s">
        <v>35</v>
      </c>
      <c r="C326" s="18" t="s">
        <v>702</v>
      </c>
      <c r="D326" s="155"/>
      <c r="E326" s="18" t="s">
        <v>703</v>
      </c>
      <c r="F326" s="155" t="str">
        <f>IF(wskakunin_sekkei3_JIMU_NAME="", "", wskakunin_sekkei3_JIMU_NAME)</f>
        <v/>
      </c>
      <c r="G326" s="19"/>
      <c r="H326" s="19"/>
    </row>
    <row r="327" spans="1:8" ht="15" customHeight="1" x14ac:dyDescent="0.15">
      <c r="A327" s="46"/>
      <c r="B327" s="79" t="s">
        <v>560</v>
      </c>
      <c r="D327" s="36"/>
      <c r="E327" s="18" t="s">
        <v>704</v>
      </c>
      <c r="F327" s="155" t="str">
        <f>wskakunin_sekkei3_JIMU_NAME&amp;" "&amp;wskakunin_sekkei3_NAME</f>
        <v xml:space="preserve"> </v>
      </c>
      <c r="G327" s="19"/>
      <c r="H327" s="19"/>
    </row>
    <row r="328" spans="1:8" ht="15" customHeight="1" x14ac:dyDescent="0.15">
      <c r="A328" s="62"/>
      <c r="B328" s="79" t="s">
        <v>8</v>
      </c>
      <c r="C328" s="18" t="s">
        <v>705</v>
      </c>
      <c r="D328" s="241"/>
      <c r="E328" s="18" t="s">
        <v>706</v>
      </c>
      <c r="F328" s="155" t="str">
        <f>IF(wskakunin_sekkei3_ZIP="", "", wskakunin_sekkei3_ZIP)</f>
        <v/>
      </c>
      <c r="G328" s="19"/>
      <c r="H328" s="19" t="s">
        <v>578</v>
      </c>
    </row>
    <row r="329" spans="1:8" ht="15" customHeight="1" x14ac:dyDescent="0.15">
      <c r="A329" s="62"/>
      <c r="B329" s="79" t="s">
        <v>11</v>
      </c>
      <c r="C329" s="18" t="s">
        <v>707</v>
      </c>
      <c r="D329" s="155"/>
      <c r="E329" s="18" t="s">
        <v>708</v>
      </c>
      <c r="F329" s="155" t="str">
        <f>IF(wskakunin_sekkei3__address="", "", wskakunin_sekkei3__address)</f>
        <v/>
      </c>
      <c r="G329" s="19"/>
      <c r="H329" s="19"/>
    </row>
    <row r="330" spans="1:8" ht="15" customHeight="1" x14ac:dyDescent="0.15">
      <c r="A330" s="62"/>
      <c r="B330" s="79" t="s">
        <v>10</v>
      </c>
      <c r="C330" s="18" t="s">
        <v>709</v>
      </c>
      <c r="D330" s="241"/>
      <c r="E330" s="18" t="s">
        <v>710</v>
      </c>
      <c r="F330" s="155" t="str">
        <f>IF(wskakunin_sekkei3_TEL="", "", wskakunin_sekkei3_TEL)</f>
        <v/>
      </c>
      <c r="G330" s="19"/>
      <c r="H330" s="19"/>
    </row>
    <row r="331" spans="1:8" ht="15" customHeight="1" x14ac:dyDescent="0.15">
      <c r="A331" s="62"/>
      <c r="B331" s="79" t="s">
        <v>579</v>
      </c>
      <c r="C331" s="18" t="s">
        <v>711</v>
      </c>
      <c r="D331" s="241"/>
      <c r="E331" s="18" t="s">
        <v>712</v>
      </c>
      <c r="F331" s="155" t="str">
        <f>IF(wskakunin_sekkei3_DOC="","",wskakunin_sekkei3_DOC)</f>
        <v/>
      </c>
      <c r="G331" s="19"/>
      <c r="H331" s="19"/>
    </row>
    <row r="332" spans="1:8" ht="15" customHeight="1" x14ac:dyDescent="0.15">
      <c r="A332" s="62"/>
      <c r="B332" s="87"/>
      <c r="G332" s="19"/>
      <c r="H332" s="19"/>
    </row>
    <row r="333" spans="1:8" ht="15" customHeight="1" x14ac:dyDescent="0.15">
      <c r="A333" s="48" t="s">
        <v>583</v>
      </c>
      <c r="B333" s="51"/>
      <c r="G333" s="19"/>
      <c r="H333" s="19"/>
    </row>
    <row r="334" spans="1:8" ht="15" customHeight="1" x14ac:dyDescent="0.15">
      <c r="A334" s="85"/>
      <c r="B334" s="79" t="s">
        <v>540</v>
      </c>
      <c r="C334" s="18" t="s">
        <v>713</v>
      </c>
      <c r="D334" s="155"/>
      <c r="E334" s="18" t="s">
        <v>714</v>
      </c>
      <c r="F334" s="155" t="str">
        <f>IF(wskakunin_sekkei4__sikaku="", "", wskakunin_sekkei4__sikaku)</f>
        <v/>
      </c>
      <c r="G334" s="19"/>
      <c r="H334" s="19"/>
    </row>
    <row r="335" spans="1:8" ht="15" customHeight="1" x14ac:dyDescent="0.15">
      <c r="A335" s="85"/>
      <c r="B335" s="79" t="s">
        <v>541</v>
      </c>
      <c r="C335" s="18" t="s">
        <v>715</v>
      </c>
      <c r="D335" s="155"/>
      <c r="E335" s="18" t="s">
        <v>716</v>
      </c>
      <c r="F335" s="155" t="str">
        <f>IF(wskakunin_sekkei4_SIKAKU__label="","",wskakunin_sekkei4_SIKAKU__label)</f>
        <v/>
      </c>
      <c r="G335" s="19"/>
      <c r="H335" s="19"/>
    </row>
    <row r="336" spans="1:8" ht="15" customHeight="1" x14ac:dyDescent="0.15">
      <c r="A336" s="85"/>
      <c r="B336" s="79" t="s">
        <v>536</v>
      </c>
      <c r="C336" s="18" t="s">
        <v>1315</v>
      </c>
      <c r="D336" s="155"/>
      <c r="E336" s="18" t="s">
        <v>717</v>
      </c>
      <c r="F336" s="155" t="str">
        <f>IF(wskakunin_sekkei4_TOUROKU_KIKAN__label="","",wskakunin_sekkei4_TOUROKU_KIKAN__label)</f>
        <v/>
      </c>
      <c r="G336" s="19"/>
      <c r="H336" s="19"/>
    </row>
    <row r="337" spans="1:8" ht="15" customHeight="1" x14ac:dyDescent="0.15">
      <c r="A337" s="85"/>
      <c r="B337" s="79" t="s">
        <v>537</v>
      </c>
      <c r="C337" s="18" t="s">
        <v>718</v>
      </c>
      <c r="D337" s="241"/>
      <c r="E337" s="18" t="s">
        <v>719</v>
      </c>
      <c r="F337" s="155" t="str">
        <f>IF(wskakunin_sekkei4_KENTIKUSI_NO="","",wskakunin_sekkei4_KENTIKUSI_NO)</f>
        <v/>
      </c>
      <c r="G337" s="19"/>
      <c r="H337" s="19"/>
    </row>
    <row r="338" spans="1:8" ht="15" customHeight="1" x14ac:dyDescent="0.15">
      <c r="A338" s="52"/>
      <c r="B338" s="79" t="s">
        <v>3</v>
      </c>
      <c r="C338" s="18" t="s">
        <v>720</v>
      </c>
      <c r="D338" s="155"/>
      <c r="E338" s="18" t="s">
        <v>721</v>
      </c>
      <c r="F338" s="155" t="str">
        <f>IF(wskakunin_sekkei4_NAME="", "", wskakunin_sekkei4_NAME)</f>
        <v/>
      </c>
      <c r="G338" s="19"/>
      <c r="H338" s="19"/>
    </row>
    <row r="339" spans="1:8" ht="15" customHeight="1" x14ac:dyDescent="0.15">
      <c r="A339" s="52"/>
      <c r="B339" s="79" t="s">
        <v>542</v>
      </c>
      <c r="C339" s="18" t="s">
        <v>722</v>
      </c>
      <c r="D339" s="155"/>
      <c r="E339" s="18" t="s">
        <v>723</v>
      </c>
      <c r="F339" s="155" t="str">
        <f>IF(wskakunin_sekkei4_JIMU__sikaku="", "", wskakunin_sekkei4_JIMU__sikaku)</f>
        <v/>
      </c>
      <c r="G339" s="19"/>
      <c r="H339" s="19"/>
    </row>
    <row r="340" spans="1:8" ht="15" customHeight="1" x14ac:dyDescent="0.15">
      <c r="A340" s="52"/>
      <c r="B340" s="79" t="s">
        <v>34</v>
      </c>
      <c r="C340" s="18" t="s">
        <v>724</v>
      </c>
      <c r="D340" s="155"/>
      <c r="E340" s="18" t="s">
        <v>1400</v>
      </c>
      <c r="F340" s="155" t="str">
        <f>IF(wskakunin_sekkei4_JIMU_SIKAKU__label="","",wskakunin_sekkei4_JIMU_SIKAKU__label)</f>
        <v/>
      </c>
      <c r="G340" s="19"/>
      <c r="H340" s="19"/>
    </row>
    <row r="341" spans="1:8" ht="15" customHeight="1" x14ac:dyDescent="0.15">
      <c r="A341" s="52"/>
      <c r="B341" s="79" t="s">
        <v>543</v>
      </c>
      <c r="C341" s="18" t="s">
        <v>1316</v>
      </c>
      <c r="D341" s="155"/>
      <c r="E341" s="18" t="s">
        <v>725</v>
      </c>
      <c r="F341" s="155" t="str">
        <f>IF(wskakunin_sekkei4_JIMU_TOUROKU_KIKAN__label="","",wskakunin_sekkei4_JIMU_TOUROKU_KIKAN__label)</f>
        <v/>
      </c>
      <c r="G341" s="19"/>
      <c r="H341" s="19"/>
    </row>
    <row r="342" spans="1:8" ht="15" customHeight="1" x14ac:dyDescent="0.15">
      <c r="A342" s="52"/>
      <c r="B342" s="79" t="s">
        <v>544</v>
      </c>
      <c r="C342" s="18" t="s">
        <v>726</v>
      </c>
      <c r="D342" s="241"/>
      <c r="E342" s="18" t="s">
        <v>727</v>
      </c>
      <c r="F342" s="155" t="str">
        <f>IF(wskakunin_sekkei4_JIMU_NO="","",wskakunin_sekkei4_JIMU_NO)</f>
        <v/>
      </c>
      <c r="G342" s="19"/>
      <c r="H342" s="19"/>
    </row>
    <row r="343" spans="1:8" ht="15" customHeight="1" x14ac:dyDescent="0.15">
      <c r="A343" s="52"/>
      <c r="B343" s="79" t="s">
        <v>35</v>
      </c>
      <c r="C343" s="18" t="s">
        <v>728</v>
      </c>
      <c r="D343" s="155"/>
      <c r="E343" s="18" t="s">
        <v>729</v>
      </c>
      <c r="F343" s="155" t="str">
        <f>IF(wskakunin_sekkei4_JIMU_NAME="", "", wskakunin_sekkei4_JIMU_NAME)</f>
        <v/>
      </c>
      <c r="G343" s="19"/>
      <c r="H343" s="19"/>
    </row>
    <row r="344" spans="1:8" ht="15" customHeight="1" x14ac:dyDescent="0.15">
      <c r="A344" s="52"/>
      <c r="B344" s="79" t="s">
        <v>560</v>
      </c>
      <c r="D344" s="36"/>
      <c r="E344" s="18" t="s">
        <v>730</v>
      </c>
      <c r="F344" s="155" t="str">
        <f>wskakunin_sekkei4_JIMU_NAME&amp;" "&amp;wskakunin_sekkei4_NAME</f>
        <v xml:space="preserve"> </v>
      </c>
      <c r="G344" s="19"/>
      <c r="H344" s="19"/>
    </row>
    <row r="345" spans="1:8" ht="15" customHeight="1" x14ac:dyDescent="0.15">
      <c r="A345" s="52"/>
      <c r="B345" s="79" t="s">
        <v>8</v>
      </c>
      <c r="C345" s="18" t="s">
        <v>731</v>
      </c>
      <c r="D345" s="241"/>
      <c r="E345" s="18" t="s">
        <v>732</v>
      </c>
      <c r="F345" s="155" t="str">
        <f>IF(wskakunin_sekkei4_ZIP="", "", wskakunin_sekkei4_ZIP)</f>
        <v/>
      </c>
      <c r="G345" s="19"/>
      <c r="H345" s="19" t="s">
        <v>578</v>
      </c>
    </row>
    <row r="346" spans="1:8" ht="15" customHeight="1" x14ac:dyDescent="0.15">
      <c r="A346" s="52"/>
      <c r="B346" s="79" t="s">
        <v>11</v>
      </c>
      <c r="C346" s="18" t="s">
        <v>733</v>
      </c>
      <c r="D346" s="155"/>
      <c r="E346" s="18" t="s">
        <v>734</v>
      </c>
      <c r="F346" s="155" t="str">
        <f>IF(wskakunin_sekkei4__address="", "", wskakunin_sekkei4__address)</f>
        <v/>
      </c>
      <c r="G346" s="19"/>
      <c r="H346" s="19"/>
    </row>
    <row r="347" spans="1:8" ht="15" customHeight="1" x14ac:dyDescent="0.15">
      <c r="A347" s="52"/>
      <c r="B347" s="79" t="s">
        <v>10</v>
      </c>
      <c r="C347" s="18" t="s">
        <v>735</v>
      </c>
      <c r="D347" s="241"/>
      <c r="E347" s="18" t="s">
        <v>736</v>
      </c>
      <c r="F347" s="155" t="str">
        <f>IF(wskakunin_sekkei4_TEL="", "", wskakunin_sekkei4_TEL)</f>
        <v/>
      </c>
      <c r="G347" s="19"/>
      <c r="H347" s="19"/>
    </row>
    <row r="348" spans="1:8" ht="15" customHeight="1" x14ac:dyDescent="0.15">
      <c r="A348" s="52"/>
      <c r="B348" s="79" t="s">
        <v>579</v>
      </c>
      <c r="C348" s="18" t="s">
        <v>737</v>
      </c>
      <c r="D348" s="241"/>
      <c r="E348" s="18" t="s">
        <v>738</v>
      </c>
      <c r="F348" s="155" t="str">
        <f>IF(wskakunin_sekkei4_DOC="","",wskakunin_sekkei4_DOC)</f>
        <v/>
      </c>
      <c r="G348" s="19"/>
      <c r="H348" s="19"/>
    </row>
    <row r="349" spans="1:8" ht="15" customHeight="1" x14ac:dyDescent="0.15">
      <c r="A349" s="53"/>
      <c r="B349" s="87"/>
      <c r="G349" s="19"/>
      <c r="H349" s="19"/>
    </row>
    <row r="350" spans="1:8" ht="15" customHeight="1" x14ac:dyDescent="0.15">
      <c r="A350" s="1" t="s">
        <v>1678</v>
      </c>
      <c r="B350" s="51"/>
      <c r="G350" s="19"/>
      <c r="H350" s="19"/>
    </row>
    <row r="351" spans="1:8" ht="15" customHeight="1" x14ac:dyDescent="0.15">
      <c r="A351" s="29"/>
      <c r="B351" s="79" t="s">
        <v>540</v>
      </c>
      <c r="C351" s="18" t="s">
        <v>1679</v>
      </c>
      <c r="D351" s="155"/>
      <c r="E351" s="18" t="s">
        <v>1680</v>
      </c>
      <c r="F351" s="155" t="str">
        <f>IF(wskakunin_sekkei5__sikaku="", "", wskakunin_sekkei5__sikaku)</f>
        <v/>
      </c>
      <c r="H351" s="19"/>
    </row>
    <row r="352" spans="1:8" ht="15" customHeight="1" x14ac:dyDescent="0.15">
      <c r="A352" s="34"/>
      <c r="B352" s="79" t="s">
        <v>541</v>
      </c>
      <c r="C352" s="18" t="s">
        <v>1681</v>
      </c>
      <c r="D352" s="155"/>
      <c r="E352" s="18" t="s">
        <v>1682</v>
      </c>
      <c r="F352" s="155" t="str">
        <f>IF(wskakunin_sekkei5_SIKAKU__label="","",wskakunin_sekkei5_SIKAKU__label)</f>
        <v/>
      </c>
      <c r="H352" s="19"/>
    </row>
    <row r="353" spans="1:8" ht="15" customHeight="1" x14ac:dyDescent="0.15">
      <c r="A353" s="34"/>
      <c r="B353" s="79" t="s">
        <v>536</v>
      </c>
      <c r="C353" s="18" t="s">
        <v>1683</v>
      </c>
      <c r="D353" s="155"/>
      <c r="E353" s="18" t="s">
        <v>1684</v>
      </c>
      <c r="F353" s="155" t="str">
        <f>IF(wskakunin_sekkei5_TOUROKU_KIKAN__label="","",wskakunin_sekkei5_TOUROKU_KIKAN__label)</f>
        <v/>
      </c>
      <c r="H353" s="19"/>
    </row>
    <row r="354" spans="1:8" ht="15" customHeight="1" x14ac:dyDescent="0.15">
      <c r="A354" s="34"/>
      <c r="B354" s="79" t="s">
        <v>537</v>
      </c>
      <c r="C354" s="18" t="s">
        <v>1685</v>
      </c>
      <c r="D354" s="241"/>
      <c r="E354" s="18" t="s">
        <v>1686</v>
      </c>
      <c r="F354" s="155" t="str">
        <f>IF(wskakunin_sekkei5_KENTIKUSI_NO="","",wskakunin_sekkei5_KENTIKUSI_NO)</f>
        <v/>
      </c>
      <c r="H354" s="19"/>
    </row>
    <row r="355" spans="1:8" ht="15" customHeight="1" x14ac:dyDescent="0.15">
      <c r="A355" s="46"/>
      <c r="B355" s="79" t="s">
        <v>3</v>
      </c>
      <c r="C355" s="18" t="s">
        <v>1687</v>
      </c>
      <c r="D355" s="155"/>
      <c r="E355" s="18" t="s">
        <v>1688</v>
      </c>
      <c r="F355" s="155" t="str">
        <f>IF(wskakunin_sekkei5_NAME="", "", wskakunin_sekkei5_NAME)</f>
        <v/>
      </c>
      <c r="H355" s="19"/>
    </row>
    <row r="356" spans="1:8" ht="15" customHeight="1" x14ac:dyDescent="0.15">
      <c r="A356" s="46"/>
      <c r="B356" s="79" t="s">
        <v>542</v>
      </c>
      <c r="C356" s="18" t="s">
        <v>1689</v>
      </c>
      <c r="D356" s="155"/>
      <c r="E356" s="18" t="s">
        <v>1690</v>
      </c>
      <c r="F356" s="155" t="str">
        <f>IF(wskakunin_sekkei5_JIMU__sikaku="", "", wskakunin_sekkei5_JIMU__sikaku)</f>
        <v/>
      </c>
      <c r="H356" s="19"/>
    </row>
    <row r="357" spans="1:8" ht="15" customHeight="1" x14ac:dyDescent="0.15">
      <c r="A357" s="46"/>
      <c r="B357" s="79" t="s">
        <v>34</v>
      </c>
      <c r="C357" s="18" t="s">
        <v>1691</v>
      </c>
      <c r="D357" s="155"/>
      <c r="E357" s="18" t="s">
        <v>1692</v>
      </c>
      <c r="F357" s="155" t="str">
        <f>IF(wskakunin_sekkei5_JIMU_SIKAKU__label="","",wskakunin_sekkei5_JIMU_SIKAKU__label)</f>
        <v/>
      </c>
      <c r="H357" s="19"/>
    </row>
    <row r="358" spans="1:8" ht="15" customHeight="1" x14ac:dyDescent="0.15">
      <c r="A358" s="46"/>
      <c r="B358" s="79" t="s">
        <v>543</v>
      </c>
      <c r="C358" s="18" t="s">
        <v>1693</v>
      </c>
      <c r="D358" s="155"/>
      <c r="E358" s="18" t="s">
        <v>1694</v>
      </c>
      <c r="F358" s="155" t="str">
        <f>IF(wskakunin_sekkei5_JIMU_TOUROKU_KIKAN__label="","",wskakunin_sekkei5_JIMU_TOUROKU_KIKAN__label)</f>
        <v/>
      </c>
      <c r="H358" s="19"/>
    </row>
    <row r="359" spans="1:8" ht="15" customHeight="1" x14ac:dyDescent="0.15">
      <c r="A359" s="46"/>
      <c r="B359" s="79" t="s">
        <v>544</v>
      </c>
      <c r="C359" s="18" t="s">
        <v>1695</v>
      </c>
      <c r="D359" s="241"/>
      <c r="E359" s="18" t="s">
        <v>1696</v>
      </c>
      <c r="F359" s="155" t="str">
        <f>IF(wskakunin_sekkei5_JIMU_NO="","",wskakunin_sekkei5_JIMU_NO)</f>
        <v/>
      </c>
      <c r="H359" s="19"/>
    </row>
    <row r="360" spans="1:8" ht="15" customHeight="1" x14ac:dyDescent="0.15">
      <c r="A360" s="62"/>
      <c r="B360" s="79" t="s">
        <v>35</v>
      </c>
      <c r="C360" s="18" t="s">
        <v>1697</v>
      </c>
      <c r="D360" s="155"/>
      <c r="E360" s="18" t="s">
        <v>1698</v>
      </c>
      <c r="F360" s="155" t="str">
        <f>IF(wskakunin_sekkei5_JIMU_NAME="", "", wskakunin_sekkei5_JIMU_NAME)</f>
        <v/>
      </c>
      <c r="H360" s="19"/>
    </row>
    <row r="361" spans="1:8" ht="15" customHeight="1" x14ac:dyDescent="0.15">
      <c r="A361" s="46"/>
      <c r="B361" s="79" t="s">
        <v>560</v>
      </c>
      <c r="D361" s="36"/>
      <c r="E361" s="18" t="s">
        <v>1699</v>
      </c>
      <c r="F361" s="155" t="str">
        <f>wskakunin_sekkei5_JIMU_NAME&amp;" "&amp;wskakunin_sekkei5_NAME</f>
        <v xml:space="preserve"> </v>
      </c>
      <c r="H361" s="19"/>
    </row>
    <row r="362" spans="1:8" ht="15" customHeight="1" x14ac:dyDescent="0.15">
      <c r="A362" s="62"/>
      <c r="B362" s="79" t="s">
        <v>8</v>
      </c>
      <c r="C362" s="18" t="s">
        <v>1700</v>
      </c>
      <c r="D362" s="241"/>
      <c r="E362" s="18" t="s">
        <v>1701</v>
      </c>
      <c r="F362" s="155" t="str">
        <f>IF(wskakunin_sekkei5_ZIP="", "", wskakunin_sekkei5_ZIP)</f>
        <v/>
      </c>
      <c r="H362" s="19" t="s">
        <v>578</v>
      </c>
    </row>
    <row r="363" spans="1:8" ht="15" customHeight="1" x14ac:dyDescent="0.15">
      <c r="A363" s="62"/>
      <c r="B363" s="79" t="s">
        <v>11</v>
      </c>
      <c r="C363" s="18" t="s">
        <v>1702</v>
      </c>
      <c r="D363" s="155"/>
      <c r="E363" s="18" t="s">
        <v>1703</v>
      </c>
      <c r="F363" s="155" t="str">
        <f>IF(wskakunin_sekkei5__address="", "", wskakunin_sekkei5__address)</f>
        <v/>
      </c>
      <c r="H363" s="19"/>
    </row>
    <row r="364" spans="1:8" ht="15" customHeight="1" x14ac:dyDescent="0.15">
      <c r="A364" s="62"/>
      <c r="B364" s="79" t="s">
        <v>10</v>
      </c>
      <c r="C364" s="18" t="s">
        <v>1704</v>
      </c>
      <c r="D364" s="241"/>
      <c r="E364" s="18" t="s">
        <v>1705</v>
      </c>
      <c r="F364" s="155" t="str">
        <f>IF(wskakunin_sekkei5_TEL="", "", wskakunin_sekkei5_TEL)</f>
        <v/>
      </c>
      <c r="H364" s="19"/>
    </row>
    <row r="365" spans="1:8" ht="15" customHeight="1" x14ac:dyDescent="0.15">
      <c r="A365" s="62"/>
      <c r="B365" s="79" t="s">
        <v>579</v>
      </c>
      <c r="C365" s="18" t="s">
        <v>1706</v>
      </c>
      <c r="D365" s="241"/>
      <c r="E365" s="18" t="s">
        <v>1707</v>
      </c>
      <c r="F365" s="155" t="str">
        <f>IF(wskakunin_sekkei5_DOC="","",wskakunin_sekkei5_DOC)</f>
        <v/>
      </c>
      <c r="H365" s="19"/>
    </row>
    <row r="366" spans="1:8" ht="15" customHeight="1" x14ac:dyDescent="0.15">
      <c r="A366" s="62"/>
      <c r="B366" s="87"/>
      <c r="H366" s="19"/>
    </row>
    <row r="367" spans="1:8" ht="15" customHeight="1" x14ac:dyDescent="0.15">
      <c r="A367" s="1" t="s">
        <v>1883</v>
      </c>
      <c r="B367" s="51"/>
      <c r="H367" s="19"/>
    </row>
    <row r="368" spans="1:8" ht="15" customHeight="1" x14ac:dyDescent="0.15">
      <c r="A368" s="29"/>
      <c r="B368" s="79" t="s">
        <v>540</v>
      </c>
      <c r="C368" s="18" t="s">
        <v>1708</v>
      </c>
      <c r="D368" s="155"/>
      <c r="E368" s="18" t="s">
        <v>1709</v>
      </c>
      <c r="F368" s="155" t="str">
        <f>IF(wskakunin_sekkei6__sikaku="", "", wskakunin_sekkei6__sikaku)</f>
        <v/>
      </c>
      <c r="H368" s="19"/>
    </row>
    <row r="369" spans="1:8" ht="15" customHeight="1" x14ac:dyDescent="0.15">
      <c r="A369" s="34"/>
      <c r="B369" s="79" t="s">
        <v>541</v>
      </c>
      <c r="C369" s="18" t="s">
        <v>1710</v>
      </c>
      <c r="D369" s="155"/>
      <c r="E369" s="18" t="s">
        <v>1711</v>
      </c>
      <c r="F369" s="155" t="str">
        <f>IF(wskakunin_sekkei6_SIKAKU__label="","",wskakunin_sekkei6_SIKAKU__label)</f>
        <v/>
      </c>
      <c r="H369" s="19"/>
    </row>
    <row r="370" spans="1:8" ht="15" customHeight="1" x14ac:dyDescent="0.15">
      <c r="A370" s="34"/>
      <c r="B370" s="79" t="s">
        <v>536</v>
      </c>
      <c r="C370" s="18" t="s">
        <v>1712</v>
      </c>
      <c r="D370" s="155"/>
      <c r="E370" s="18" t="s">
        <v>1713</v>
      </c>
      <c r="F370" s="155" t="str">
        <f>IF(wskakunin_sekkei6_TOUROKU_KIKAN__label="","",wskakunin_sekkei6_TOUROKU_KIKAN__label)</f>
        <v/>
      </c>
      <c r="H370" s="19"/>
    </row>
    <row r="371" spans="1:8" ht="15" customHeight="1" x14ac:dyDescent="0.15">
      <c r="A371" s="34"/>
      <c r="B371" s="79" t="s">
        <v>537</v>
      </c>
      <c r="C371" s="18" t="s">
        <v>1714</v>
      </c>
      <c r="D371" s="241"/>
      <c r="E371" s="18" t="s">
        <v>1715</v>
      </c>
      <c r="F371" s="155" t="str">
        <f>IF(wskakunin_sekkei6_KENTIKUSI_NO="","",wskakunin_sekkei6_KENTIKUSI_NO)</f>
        <v/>
      </c>
      <c r="H371" s="19"/>
    </row>
    <row r="372" spans="1:8" ht="15" customHeight="1" x14ac:dyDescent="0.15">
      <c r="A372" s="46"/>
      <c r="B372" s="79" t="s">
        <v>3</v>
      </c>
      <c r="C372" s="18" t="s">
        <v>1716</v>
      </c>
      <c r="D372" s="155"/>
      <c r="E372" s="18" t="s">
        <v>1717</v>
      </c>
      <c r="F372" s="155" t="str">
        <f>IF(wskakunin_sekkei6_NAME="", "", wskakunin_sekkei6_NAME)</f>
        <v/>
      </c>
      <c r="H372" s="19"/>
    </row>
    <row r="373" spans="1:8" ht="15" customHeight="1" x14ac:dyDescent="0.15">
      <c r="A373" s="46"/>
      <c r="B373" s="79" t="s">
        <v>542</v>
      </c>
      <c r="C373" s="18" t="s">
        <v>1718</v>
      </c>
      <c r="D373" s="155"/>
      <c r="E373" s="18" t="s">
        <v>1719</v>
      </c>
      <c r="F373" s="155" t="str">
        <f>IF(wskakunin_sekkei6_JIMU__sikaku="", "", wskakunin_sekkei6_JIMU__sikaku)</f>
        <v/>
      </c>
      <c r="H373" s="19"/>
    </row>
    <row r="374" spans="1:8" ht="15" customHeight="1" x14ac:dyDescent="0.15">
      <c r="A374" s="46"/>
      <c r="B374" s="79" t="s">
        <v>34</v>
      </c>
      <c r="C374" s="18" t="s">
        <v>1720</v>
      </c>
      <c r="D374" s="155"/>
      <c r="E374" s="18" t="s">
        <v>1721</v>
      </c>
      <c r="F374" s="155" t="str">
        <f>IF(wskakunin_sekkei6_JIMU_SIKAKU__label="","",wskakunin_sekkei6_JIMU_SIKAKU__label)</f>
        <v/>
      </c>
      <c r="H374" s="19"/>
    </row>
    <row r="375" spans="1:8" ht="15" customHeight="1" x14ac:dyDescent="0.15">
      <c r="A375" s="46"/>
      <c r="B375" s="79" t="s">
        <v>543</v>
      </c>
      <c r="C375" s="18" t="s">
        <v>1722</v>
      </c>
      <c r="D375" s="155"/>
      <c r="E375" s="18" t="s">
        <v>1723</v>
      </c>
      <c r="F375" s="155" t="str">
        <f>IF(wskakunin_sekkei6_JIMU_TOUROKU_KIKAN__label="","",wskakunin_sekkei6_JIMU_TOUROKU_KIKAN__label)</f>
        <v/>
      </c>
      <c r="H375" s="19"/>
    </row>
    <row r="376" spans="1:8" ht="15" customHeight="1" x14ac:dyDescent="0.15">
      <c r="A376" s="46"/>
      <c r="B376" s="79" t="s">
        <v>544</v>
      </c>
      <c r="C376" s="18" t="s">
        <v>1724</v>
      </c>
      <c r="D376" s="241"/>
      <c r="E376" s="18" t="s">
        <v>1725</v>
      </c>
      <c r="F376" s="155" t="str">
        <f>IF(wskakunin_sekkei6_JIMU_NO="","",wskakunin_sekkei6_JIMU_NO)</f>
        <v/>
      </c>
      <c r="H376" s="19"/>
    </row>
    <row r="377" spans="1:8" ht="15" customHeight="1" x14ac:dyDescent="0.15">
      <c r="A377" s="62"/>
      <c r="B377" s="79" t="s">
        <v>35</v>
      </c>
      <c r="C377" s="18" t="s">
        <v>1726</v>
      </c>
      <c r="D377" s="155"/>
      <c r="E377" s="18" t="s">
        <v>1727</v>
      </c>
      <c r="F377" s="155" t="str">
        <f>IF(wskakunin_sekkei6_JIMU_NAME="", "", wskakunin_sekkei6_JIMU_NAME)</f>
        <v/>
      </c>
      <c r="H377" s="19"/>
    </row>
    <row r="378" spans="1:8" ht="15" customHeight="1" x14ac:dyDescent="0.15">
      <c r="A378" s="46"/>
      <c r="B378" s="79" t="s">
        <v>560</v>
      </c>
      <c r="D378" s="36"/>
      <c r="E378" s="18" t="s">
        <v>1728</v>
      </c>
      <c r="F378" s="155" t="str">
        <f>wskakunin_sekkei6_JIMU_NAME&amp;" "&amp;wskakunin_sekkei6_NAME</f>
        <v xml:space="preserve"> </v>
      </c>
      <c r="H378" s="19"/>
    </row>
    <row r="379" spans="1:8" ht="15" customHeight="1" x14ac:dyDescent="0.15">
      <c r="A379" s="62"/>
      <c r="B379" s="79" t="s">
        <v>8</v>
      </c>
      <c r="C379" s="18" t="s">
        <v>1729</v>
      </c>
      <c r="D379" s="241"/>
      <c r="E379" s="18" t="s">
        <v>1730</v>
      </c>
      <c r="F379" s="155" t="str">
        <f>IF(wskakunin_sekkei6_ZIP="", "", wskakunin_sekkei6_ZIP)</f>
        <v/>
      </c>
      <c r="H379" s="19" t="s">
        <v>578</v>
      </c>
    </row>
    <row r="380" spans="1:8" ht="15" customHeight="1" x14ac:dyDescent="0.15">
      <c r="A380" s="62"/>
      <c r="B380" s="79" t="s">
        <v>11</v>
      </c>
      <c r="C380" s="18" t="s">
        <v>1731</v>
      </c>
      <c r="D380" s="155"/>
      <c r="E380" s="18" t="s">
        <v>1732</v>
      </c>
      <c r="F380" s="155" t="str">
        <f>IF(wskakunin_sekkei6__address="", "", wskakunin_sekkei6__address)</f>
        <v/>
      </c>
      <c r="H380" s="19"/>
    </row>
    <row r="381" spans="1:8" ht="15" customHeight="1" x14ac:dyDescent="0.15">
      <c r="A381" s="62"/>
      <c r="B381" s="79" t="s">
        <v>10</v>
      </c>
      <c r="C381" s="18" t="s">
        <v>1733</v>
      </c>
      <c r="D381" s="241"/>
      <c r="E381" s="18" t="s">
        <v>1734</v>
      </c>
      <c r="F381" s="155" t="str">
        <f>IF(wskakunin_sekkei6_TEL="", "", wskakunin_sekkei6_TEL)</f>
        <v/>
      </c>
      <c r="H381" s="19"/>
    </row>
    <row r="382" spans="1:8" ht="15" customHeight="1" x14ac:dyDescent="0.15">
      <c r="A382" s="62"/>
      <c r="B382" s="79" t="s">
        <v>579</v>
      </c>
      <c r="C382" s="18" t="s">
        <v>1735</v>
      </c>
      <c r="D382" s="241"/>
      <c r="E382" s="18" t="s">
        <v>1736</v>
      </c>
      <c r="F382" s="155" t="str">
        <f>IF(wskakunin_sekkei6_DOC="","",wskakunin_sekkei6_DOC)</f>
        <v/>
      </c>
      <c r="H382" s="19"/>
    </row>
    <row r="383" spans="1:8" ht="15" customHeight="1" x14ac:dyDescent="0.15">
      <c r="A383" s="62"/>
      <c r="B383" s="87"/>
      <c r="H383" s="19"/>
    </row>
    <row r="384" spans="1:8" ht="15" customHeight="1" x14ac:dyDescent="0.15">
      <c r="A384" s="1" t="s">
        <v>1884</v>
      </c>
      <c r="B384" s="51"/>
      <c r="H384" s="19"/>
    </row>
    <row r="385" spans="1:8" ht="15" customHeight="1" x14ac:dyDescent="0.15">
      <c r="A385" s="29"/>
      <c r="B385" s="79" t="s">
        <v>540</v>
      </c>
      <c r="C385" s="18" t="s">
        <v>1737</v>
      </c>
      <c r="D385" s="155"/>
      <c r="E385" s="18" t="s">
        <v>1738</v>
      </c>
      <c r="F385" s="155" t="str">
        <f>IF(wskakunin_sekkei7__sikaku="", "", wskakunin_sekkei7__sikaku)</f>
        <v/>
      </c>
      <c r="H385" s="19"/>
    </row>
    <row r="386" spans="1:8" ht="15" customHeight="1" x14ac:dyDescent="0.15">
      <c r="A386" s="34"/>
      <c r="B386" s="79" t="s">
        <v>541</v>
      </c>
      <c r="C386" s="18" t="s">
        <v>1739</v>
      </c>
      <c r="D386" s="155"/>
      <c r="E386" s="18" t="s">
        <v>1740</v>
      </c>
      <c r="F386" s="155" t="str">
        <f>IF(wskakunin_sekkei7_SIKAKU__label="","",wskakunin_sekkei7_SIKAKU__label)</f>
        <v/>
      </c>
      <c r="H386" s="19"/>
    </row>
    <row r="387" spans="1:8" ht="15" customHeight="1" x14ac:dyDescent="0.15">
      <c r="A387" s="34"/>
      <c r="B387" s="79" t="s">
        <v>536</v>
      </c>
      <c r="C387" s="18" t="s">
        <v>1741</v>
      </c>
      <c r="D387" s="155"/>
      <c r="E387" s="18" t="s">
        <v>1742</v>
      </c>
      <c r="F387" s="155" t="str">
        <f>IF(wskakunin_sekkei7_TOUROKU_KIKAN__label="","",wskakunin_sekkei7_TOUROKU_KIKAN__label)</f>
        <v/>
      </c>
      <c r="H387" s="19"/>
    </row>
    <row r="388" spans="1:8" ht="15" customHeight="1" x14ac:dyDescent="0.15">
      <c r="A388" s="34"/>
      <c r="B388" s="79" t="s">
        <v>537</v>
      </c>
      <c r="C388" s="18" t="s">
        <v>1743</v>
      </c>
      <c r="D388" s="241"/>
      <c r="E388" s="18" t="s">
        <v>1744</v>
      </c>
      <c r="F388" s="155" t="str">
        <f>IF(wskakunin_sekkei7_KENTIKUSI_NO="","",wskakunin_sekkei7_KENTIKUSI_NO)</f>
        <v/>
      </c>
      <c r="H388" s="19"/>
    </row>
    <row r="389" spans="1:8" ht="15" customHeight="1" x14ac:dyDescent="0.15">
      <c r="A389" s="46"/>
      <c r="B389" s="79" t="s">
        <v>3</v>
      </c>
      <c r="C389" s="18" t="s">
        <v>1745</v>
      </c>
      <c r="D389" s="155"/>
      <c r="E389" s="18" t="s">
        <v>1746</v>
      </c>
      <c r="F389" s="155" t="str">
        <f>IF(wskakunin_sekkei7_NAME="", "", wskakunin_sekkei7_NAME)</f>
        <v/>
      </c>
      <c r="H389" s="19"/>
    </row>
    <row r="390" spans="1:8" ht="15" customHeight="1" x14ac:dyDescent="0.15">
      <c r="A390" s="46"/>
      <c r="B390" s="79" t="s">
        <v>542</v>
      </c>
      <c r="C390" s="18" t="s">
        <v>1747</v>
      </c>
      <c r="D390" s="155"/>
      <c r="E390" s="18" t="s">
        <v>1748</v>
      </c>
      <c r="F390" s="155" t="str">
        <f>IF(wskakunin_sekkei7_JIMU__sikaku="", "", wskakunin_sekkei7_JIMU__sikaku)</f>
        <v/>
      </c>
      <c r="H390" s="19"/>
    </row>
    <row r="391" spans="1:8" ht="15" customHeight="1" x14ac:dyDescent="0.15">
      <c r="A391" s="46"/>
      <c r="B391" s="79" t="s">
        <v>34</v>
      </c>
      <c r="C391" s="18" t="s">
        <v>1749</v>
      </c>
      <c r="D391" s="155"/>
      <c r="E391" s="18" t="s">
        <v>1750</v>
      </c>
      <c r="F391" s="155" t="str">
        <f>IF(wskakunin_sekkei7_JIMU_SIKAKU__label="","",wskakunin_sekkei7_JIMU_SIKAKU__label)</f>
        <v/>
      </c>
      <c r="H391" s="19"/>
    </row>
    <row r="392" spans="1:8" ht="15" customHeight="1" x14ac:dyDescent="0.15">
      <c r="A392" s="46"/>
      <c r="B392" s="79" t="s">
        <v>543</v>
      </c>
      <c r="C392" s="18" t="s">
        <v>1751</v>
      </c>
      <c r="D392" s="155"/>
      <c r="E392" s="18" t="s">
        <v>1752</v>
      </c>
      <c r="F392" s="155" t="str">
        <f>IF(wskakunin_sekkei7_JIMU_TOUROKU_KIKAN__label="","",wskakunin_sekkei7_JIMU_TOUROKU_KIKAN__label)</f>
        <v/>
      </c>
      <c r="H392" s="19"/>
    </row>
    <row r="393" spans="1:8" ht="15" customHeight="1" x14ac:dyDescent="0.15">
      <c r="A393" s="46"/>
      <c r="B393" s="79" t="s">
        <v>544</v>
      </c>
      <c r="C393" s="18" t="s">
        <v>1753</v>
      </c>
      <c r="D393" s="241"/>
      <c r="E393" s="18" t="s">
        <v>1754</v>
      </c>
      <c r="F393" s="155" t="str">
        <f>IF(wskakunin_sekkei7_JIMU_NO="","",wskakunin_sekkei7_JIMU_NO)</f>
        <v/>
      </c>
      <c r="H393" s="19"/>
    </row>
    <row r="394" spans="1:8" ht="15" customHeight="1" x14ac:dyDescent="0.15">
      <c r="A394" s="62"/>
      <c r="B394" s="79" t="s">
        <v>35</v>
      </c>
      <c r="C394" s="18" t="s">
        <v>1755</v>
      </c>
      <c r="D394" s="155"/>
      <c r="E394" s="18" t="s">
        <v>1756</v>
      </c>
      <c r="F394" s="155" t="str">
        <f>IF(wskakunin_sekkei7_JIMU_NAME="", "", wskakunin_sekkei7_JIMU_NAME)</f>
        <v/>
      </c>
      <c r="H394" s="19"/>
    </row>
    <row r="395" spans="1:8" ht="15" customHeight="1" x14ac:dyDescent="0.15">
      <c r="A395" s="46"/>
      <c r="B395" s="79" t="s">
        <v>560</v>
      </c>
      <c r="D395" s="36"/>
      <c r="E395" s="18" t="s">
        <v>1757</v>
      </c>
      <c r="F395" s="155" t="str">
        <f>wskakunin_sekkei7_JIMU_NAME&amp;" "&amp;wskakunin_sekkei7_NAME</f>
        <v xml:space="preserve"> </v>
      </c>
      <c r="H395" s="19"/>
    </row>
    <row r="396" spans="1:8" ht="15" customHeight="1" x14ac:dyDescent="0.15">
      <c r="A396" s="62"/>
      <c r="B396" s="79" t="s">
        <v>8</v>
      </c>
      <c r="C396" s="18" t="s">
        <v>1758</v>
      </c>
      <c r="D396" s="241"/>
      <c r="E396" s="18" t="s">
        <v>1759</v>
      </c>
      <c r="F396" s="155" t="str">
        <f>IF(wskakunin_sekkei7_ZIP="", "", wskakunin_sekkei7_ZIP)</f>
        <v/>
      </c>
      <c r="H396" s="19" t="s">
        <v>578</v>
      </c>
    </row>
    <row r="397" spans="1:8" ht="15" customHeight="1" x14ac:dyDescent="0.15">
      <c r="A397" s="62"/>
      <c r="B397" s="79" t="s">
        <v>11</v>
      </c>
      <c r="C397" s="18" t="s">
        <v>1760</v>
      </c>
      <c r="D397" s="155"/>
      <c r="E397" s="18" t="s">
        <v>1761</v>
      </c>
      <c r="F397" s="155" t="str">
        <f>IF(wskakunin_sekkei7__address="", "", wskakunin_sekkei7__address)</f>
        <v/>
      </c>
      <c r="H397" s="19"/>
    </row>
    <row r="398" spans="1:8" ht="15" customHeight="1" x14ac:dyDescent="0.15">
      <c r="A398" s="62"/>
      <c r="B398" s="79" t="s">
        <v>10</v>
      </c>
      <c r="C398" s="18" t="s">
        <v>1762</v>
      </c>
      <c r="D398" s="241"/>
      <c r="E398" s="18" t="s">
        <v>1763</v>
      </c>
      <c r="F398" s="155" t="str">
        <f>IF(wskakunin_sekkei7_TEL="", "", wskakunin_sekkei7_TEL)</f>
        <v/>
      </c>
      <c r="H398" s="19"/>
    </row>
    <row r="399" spans="1:8" ht="15" customHeight="1" x14ac:dyDescent="0.15">
      <c r="A399" s="62"/>
      <c r="B399" s="79" t="s">
        <v>579</v>
      </c>
      <c r="C399" s="18" t="s">
        <v>1764</v>
      </c>
      <c r="D399" s="241"/>
      <c r="E399" s="18" t="s">
        <v>1765</v>
      </c>
      <c r="F399" s="155" t="str">
        <f>IF(wskakunin_sekkei7_DOC="","",wskakunin_sekkei7_DOC)</f>
        <v/>
      </c>
      <c r="H399" s="19"/>
    </row>
    <row r="400" spans="1:8" ht="15" customHeight="1" x14ac:dyDescent="0.15">
      <c r="A400" s="62"/>
      <c r="B400" s="87"/>
      <c r="H400" s="19"/>
    </row>
    <row r="401" spans="1:8" ht="15" customHeight="1" x14ac:dyDescent="0.15">
      <c r="A401" s="1" t="s">
        <v>1885</v>
      </c>
      <c r="B401" s="51"/>
      <c r="H401" s="19"/>
    </row>
    <row r="402" spans="1:8" ht="15" customHeight="1" x14ac:dyDescent="0.15">
      <c r="A402" s="29"/>
      <c r="B402" s="79" t="s">
        <v>540</v>
      </c>
      <c r="C402" s="18" t="s">
        <v>1766</v>
      </c>
      <c r="D402" s="155"/>
      <c r="E402" s="18" t="s">
        <v>1767</v>
      </c>
      <c r="F402" s="155" t="str">
        <f>IF(wskakunin_sekkei8__sikaku="", "", wskakunin_sekkei8__sikaku)</f>
        <v/>
      </c>
      <c r="H402" s="19"/>
    </row>
    <row r="403" spans="1:8" ht="15" customHeight="1" x14ac:dyDescent="0.15">
      <c r="A403" s="34"/>
      <c r="B403" s="79" t="s">
        <v>541</v>
      </c>
      <c r="C403" s="18" t="s">
        <v>1768</v>
      </c>
      <c r="D403" s="155"/>
      <c r="E403" s="18" t="s">
        <v>1769</v>
      </c>
      <c r="F403" s="155" t="str">
        <f>IF(wskakunin_sekkei8_SIKAKU__label="","",wskakunin_sekkei8_SIKAKU__label)</f>
        <v/>
      </c>
      <c r="H403" s="19"/>
    </row>
    <row r="404" spans="1:8" ht="15" customHeight="1" x14ac:dyDescent="0.15">
      <c r="A404" s="34"/>
      <c r="B404" s="79" t="s">
        <v>536</v>
      </c>
      <c r="C404" s="18" t="s">
        <v>1770</v>
      </c>
      <c r="D404" s="155"/>
      <c r="E404" s="18" t="s">
        <v>1771</v>
      </c>
      <c r="F404" s="155" t="str">
        <f>IF(wskakunin_sekkei8_TOUROKU_KIKAN__label="","",wskakunin_sekkei8_TOUROKU_KIKAN__label)</f>
        <v/>
      </c>
      <c r="H404" s="19"/>
    </row>
    <row r="405" spans="1:8" ht="15" customHeight="1" x14ac:dyDescent="0.15">
      <c r="A405" s="34"/>
      <c r="B405" s="79" t="s">
        <v>537</v>
      </c>
      <c r="C405" s="18" t="s">
        <v>1772</v>
      </c>
      <c r="D405" s="241"/>
      <c r="E405" s="18" t="s">
        <v>1773</v>
      </c>
      <c r="F405" s="155" t="str">
        <f>IF(wskakunin_sekkei8_KENTIKUSI_NO="","",wskakunin_sekkei8_KENTIKUSI_NO)</f>
        <v/>
      </c>
      <c r="H405" s="19"/>
    </row>
    <row r="406" spans="1:8" ht="15" customHeight="1" x14ac:dyDescent="0.15">
      <c r="A406" s="46"/>
      <c r="B406" s="79" t="s">
        <v>3</v>
      </c>
      <c r="C406" s="18" t="s">
        <v>1774</v>
      </c>
      <c r="D406" s="155"/>
      <c r="E406" s="18" t="s">
        <v>1775</v>
      </c>
      <c r="F406" s="155" t="str">
        <f>IF(wskakunin_sekkei8_NAME="", "", wskakunin_sekkei8_NAME)</f>
        <v/>
      </c>
      <c r="H406" s="19"/>
    </row>
    <row r="407" spans="1:8" ht="15" customHeight="1" x14ac:dyDescent="0.15">
      <c r="A407" s="46"/>
      <c r="B407" s="79" t="s">
        <v>542</v>
      </c>
      <c r="C407" s="18" t="s">
        <v>1776</v>
      </c>
      <c r="D407" s="155"/>
      <c r="E407" s="18" t="s">
        <v>1777</v>
      </c>
      <c r="F407" s="155" t="str">
        <f>IF(wskakunin_sekkei8_JIMU__sikaku="", "", wskakunin_sekkei8_JIMU__sikaku)</f>
        <v/>
      </c>
      <c r="H407" s="19"/>
    </row>
    <row r="408" spans="1:8" ht="15" customHeight="1" x14ac:dyDescent="0.15">
      <c r="A408" s="46"/>
      <c r="B408" s="79" t="s">
        <v>34</v>
      </c>
      <c r="C408" s="18" t="s">
        <v>1778</v>
      </c>
      <c r="D408" s="155"/>
      <c r="E408" s="18" t="s">
        <v>1779</v>
      </c>
      <c r="F408" s="155" t="str">
        <f>IF(wskakunin_sekkei8_JIMU_SIKAKU__label="","",wskakunin_sekkei8_JIMU_SIKAKU__label)</f>
        <v/>
      </c>
      <c r="H408" s="19"/>
    </row>
    <row r="409" spans="1:8" ht="15" customHeight="1" x14ac:dyDescent="0.15">
      <c r="A409" s="46"/>
      <c r="B409" s="79" t="s">
        <v>543</v>
      </c>
      <c r="C409" s="18" t="s">
        <v>1780</v>
      </c>
      <c r="D409" s="155"/>
      <c r="E409" s="18" t="s">
        <v>1781</v>
      </c>
      <c r="F409" s="155" t="str">
        <f>IF(wskakunin_sekkei8_JIMU_TOUROKU_KIKAN__label="","",wskakunin_sekkei8_JIMU_TOUROKU_KIKAN__label)</f>
        <v/>
      </c>
      <c r="H409" s="19"/>
    </row>
    <row r="410" spans="1:8" ht="15" customHeight="1" x14ac:dyDescent="0.15">
      <c r="A410" s="46"/>
      <c r="B410" s="79" t="s">
        <v>544</v>
      </c>
      <c r="C410" s="18" t="s">
        <v>1782</v>
      </c>
      <c r="D410" s="241"/>
      <c r="E410" s="18" t="s">
        <v>1783</v>
      </c>
      <c r="F410" s="155" t="str">
        <f>IF(wskakunin_sekkei8_JIMU_NO="","",wskakunin_sekkei8_JIMU_NO)</f>
        <v/>
      </c>
      <c r="H410" s="19"/>
    </row>
    <row r="411" spans="1:8" ht="15" customHeight="1" x14ac:dyDescent="0.15">
      <c r="A411" s="62"/>
      <c r="B411" s="79" t="s">
        <v>35</v>
      </c>
      <c r="C411" s="18" t="s">
        <v>1784</v>
      </c>
      <c r="D411" s="155"/>
      <c r="E411" s="18" t="s">
        <v>1785</v>
      </c>
      <c r="F411" s="155" t="str">
        <f>IF(wskakunin_sekkei8_JIMU_NAME="", "", wskakunin_sekkei8_JIMU_NAME)</f>
        <v/>
      </c>
      <c r="H411" s="19"/>
    </row>
    <row r="412" spans="1:8" ht="15" customHeight="1" x14ac:dyDescent="0.15">
      <c r="A412" s="46"/>
      <c r="B412" s="79" t="s">
        <v>560</v>
      </c>
      <c r="D412" s="36"/>
      <c r="E412" s="18" t="s">
        <v>1786</v>
      </c>
      <c r="F412" s="155" t="str">
        <f>wskakunin_sekkei8_JIMU_NAME&amp;" "&amp;wskakunin_sekkei8_NAME</f>
        <v xml:space="preserve"> </v>
      </c>
      <c r="H412" s="19"/>
    </row>
    <row r="413" spans="1:8" ht="15" customHeight="1" x14ac:dyDescent="0.15">
      <c r="A413" s="62"/>
      <c r="B413" s="79" t="s">
        <v>8</v>
      </c>
      <c r="C413" s="18" t="s">
        <v>1787</v>
      </c>
      <c r="D413" s="241"/>
      <c r="E413" s="18" t="s">
        <v>1788</v>
      </c>
      <c r="F413" s="155" t="str">
        <f>IF(wskakunin_sekkei8_ZIP="", "", wskakunin_sekkei8_ZIP)</f>
        <v/>
      </c>
      <c r="H413" s="19" t="s">
        <v>578</v>
      </c>
    </row>
    <row r="414" spans="1:8" ht="15" customHeight="1" x14ac:dyDescent="0.15">
      <c r="A414" s="62"/>
      <c r="B414" s="79" t="s">
        <v>11</v>
      </c>
      <c r="C414" s="18" t="s">
        <v>1789</v>
      </c>
      <c r="D414" s="155"/>
      <c r="E414" s="18" t="s">
        <v>1790</v>
      </c>
      <c r="F414" s="155" t="str">
        <f>IF(wskakunin_sekkei8__address="", "", wskakunin_sekkei8__address)</f>
        <v/>
      </c>
      <c r="H414" s="19"/>
    </row>
    <row r="415" spans="1:8" ht="15" customHeight="1" x14ac:dyDescent="0.15">
      <c r="A415" s="62"/>
      <c r="B415" s="79" t="s">
        <v>10</v>
      </c>
      <c r="C415" s="18" t="s">
        <v>1791</v>
      </c>
      <c r="D415" s="241"/>
      <c r="E415" s="18" t="s">
        <v>1792</v>
      </c>
      <c r="F415" s="155" t="str">
        <f>IF(wskakunin_sekkei8_TEL="", "", wskakunin_sekkei8_TEL)</f>
        <v/>
      </c>
      <c r="H415" s="19"/>
    </row>
    <row r="416" spans="1:8" ht="15" customHeight="1" x14ac:dyDescent="0.15">
      <c r="A416" s="62"/>
      <c r="B416" s="79" t="s">
        <v>579</v>
      </c>
      <c r="C416" s="18" t="s">
        <v>1793</v>
      </c>
      <c r="D416" s="241"/>
      <c r="E416" s="18" t="s">
        <v>1794</v>
      </c>
      <c r="F416" s="155" t="str">
        <f>IF(wskakunin_sekkei8_DOC="","",wskakunin_sekkei8_DOC)</f>
        <v/>
      </c>
      <c r="H416" s="19"/>
    </row>
    <row r="417" spans="1:8" ht="15" customHeight="1" x14ac:dyDescent="0.15">
      <c r="A417" s="62"/>
      <c r="B417" s="87"/>
      <c r="H417" s="19"/>
    </row>
    <row r="418" spans="1:8" ht="15" customHeight="1" x14ac:dyDescent="0.15">
      <c r="A418" s="1" t="s">
        <v>1886</v>
      </c>
      <c r="B418" s="51"/>
      <c r="H418" s="19"/>
    </row>
    <row r="419" spans="1:8" ht="15" customHeight="1" x14ac:dyDescent="0.15">
      <c r="A419" s="29"/>
      <c r="B419" s="79" t="s">
        <v>540</v>
      </c>
      <c r="C419" s="18" t="s">
        <v>1795</v>
      </c>
      <c r="D419" s="155"/>
      <c r="E419" s="18" t="s">
        <v>1796</v>
      </c>
      <c r="F419" s="155" t="str">
        <f>IF(wskakunin_sekkei9__sikaku="", "", wskakunin_sekkei9__sikaku)</f>
        <v/>
      </c>
      <c r="H419" s="19"/>
    </row>
    <row r="420" spans="1:8" ht="15" customHeight="1" x14ac:dyDescent="0.15">
      <c r="A420" s="34"/>
      <c r="B420" s="79" t="s">
        <v>541</v>
      </c>
      <c r="C420" s="18" t="s">
        <v>1797</v>
      </c>
      <c r="D420" s="155"/>
      <c r="E420" s="18" t="s">
        <v>1798</v>
      </c>
      <c r="F420" s="155" t="str">
        <f>IF(wskakunin_sekkei9_SIKAKU__label="","",wskakunin_sekkei9_SIKAKU__label)</f>
        <v/>
      </c>
      <c r="H420" s="19"/>
    </row>
    <row r="421" spans="1:8" ht="15" customHeight="1" x14ac:dyDescent="0.15">
      <c r="A421" s="34"/>
      <c r="B421" s="79" t="s">
        <v>536</v>
      </c>
      <c r="C421" s="18" t="s">
        <v>1799</v>
      </c>
      <c r="D421" s="155"/>
      <c r="E421" s="18" t="s">
        <v>1800</v>
      </c>
      <c r="F421" s="155" t="str">
        <f>IF(wskakunin_sekkei9_TOUROKU_KIKAN__label="","",wskakunin_sekkei9_TOUROKU_KIKAN__label)</f>
        <v/>
      </c>
      <c r="H421" s="19"/>
    </row>
    <row r="422" spans="1:8" ht="15" customHeight="1" x14ac:dyDescent="0.15">
      <c r="A422" s="34"/>
      <c r="B422" s="79" t="s">
        <v>537</v>
      </c>
      <c r="C422" s="18" t="s">
        <v>1801</v>
      </c>
      <c r="D422" s="241"/>
      <c r="E422" s="18" t="s">
        <v>1802</v>
      </c>
      <c r="F422" s="155" t="str">
        <f>IF(wskakunin_sekkei9_KENTIKUSI_NO="","",wskakunin_sekkei9_KENTIKUSI_NO)</f>
        <v/>
      </c>
      <c r="H422" s="19"/>
    </row>
    <row r="423" spans="1:8" ht="15" customHeight="1" x14ac:dyDescent="0.15">
      <c r="A423" s="46"/>
      <c r="B423" s="79" t="s">
        <v>3</v>
      </c>
      <c r="C423" s="18" t="s">
        <v>1803</v>
      </c>
      <c r="D423" s="155"/>
      <c r="E423" s="18" t="s">
        <v>1804</v>
      </c>
      <c r="F423" s="155" t="str">
        <f>IF(wskakunin_sekkei9_NAME="", "", wskakunin_sekkei9_NAME)</f>
        <v/>
      </c>
      <c r="H423" s="19"/>
    </row>
    <row r="424" spans="1:8" ht="15" customHeight="1" x14ac:dyDescent="0.15">
      <c r="A424" s="46"/>
      <c r="B424" s="79" t="s">
        <v>542</v>
      </c>
      <c r="C424" s="18" t="s">
        <v>1805</v>
      </c>
      <c r="D424" s="155"/>
      <c r="E424" s="18" t="s">
        <v>1806</v>
      </c>
      <c r="F424" s="155" t="str">
        <f>IF(wskakunin_sekkei9_JIMU__sikaku="", "", wskakunin_sekkei9_JIMU__sikaku)</f>
        <v/>
      </c>
      <c r="H424" s="19"/>
    </row>
    <row r="425" spans="1:8" ht="15" customHeight="1" x14ac:dyDescent="0.15">
      <c r="A425" s="46"/>
      <c r="B425" s="79" t="s">
        <v>34</v>
      </c>
      <c r="C425" s="18" t="s">
        <v>1807</v>
      </c>
      <c r="D425" s="155"/>
      <c r="E425" s="18" t="s">
        <v>1808</v>
      </c>
      <c r="F425" s="155" t="str">
        <f>IF(wskakunin_sekkei9_JIMU_SIKAKU__label="","",wskakunin_sekkei9_JIMU_SIKAKU__label)</f>
        <v/>
      </c>
      <c r="H425" s="19"/>
    </row>
    <row r="426" spans="1:8" ht="15" customHeight="1" x14ac:dyDescent="0.15">
      <c r="A426" s="46"/>
      <c r="B426" s="79" t="s">
        <v>543</v>
      </c>
      <c r="C426" s="18" t="s">
        <v>1809</v>
      </c>
      <c r="D426" s="155"/>
      <c r="E426" s="18" t="s">
        <v>1810</v>
      </c>
      <c r="F426" s="155" t="str">
        <f>IF(wskakunin_sekkei9_JIMU_TOUROKU_KIKAN__label="","",wskakunin_sekkei9_JIMU_TOUROKU_KIKAN__label)</f>
        <v/>
      </c>
      <c r="H426" s="19"/>
    </row>
    <row r="427" spans="1:8" ht="15" customHeight="1" x14ac:dyDescent="0.15">
      <c r="A427" s="46"/>
      <c r="B427" s="79" t="s">
        <v>544</v>
      </c>
      <c r="C427" s="18" t="s">
        <v>1811</v>
      </c>
      <c r="D427" s="241"/>
      <c r="E427" s="18" t="s">
        <v>1812</v>
      </c>
      <c r="F427" s="155" t="str">
        <f>IF(wskakunin_sekkei9_JIMU_NO="","",wskakunin_sekkei9_JIMU_NO)</f>
        <v/>
      </c>
      <c r="H427" s="19"/>
    </row>
    <row r="428" spans="1:8" ht="15" customHeight="1" x14ac:dyDescent="0.15">
      <c r="A428" s="62"/>
      <c r="B428" s="79" t="s">
        <v>35</v>
      </c>
      <c r="C428" s="18" t="s">
        <v>1813</v>
      </c>
      <c r="D428" s="155"/>
      <c r="E428" s="18" t="s">
        <v>1814</v>
      </c>
      <c r="F428" s="155" t="str">
        <f>IF(wskakunin_sekkei9_JIMU_NAME="", "", wskakunin_sekkei9_JIMU_NAME)</f>
        <v/>
      </c>
      <c r="H428" s="19"/>
    </row>
    <row r="429" spans="1:8" ht="15" customHeight="1" x14ac:dyDescent="0.15">
      <c r="A429" s="46"/>
      <c r="B429" s="79" t="s">
        <v>560</v>
      </c>
      <c r="D429" s="36"/>
      <c r="E429" s="18" t="s">
        <v>1815</v>
      </c>
      <c r="F429" s="155" t="str">
        <f>wskakunin_sekkei9_JIMU_NAME&amp;" "&amp;wskakunin_sekkei9_NAME</f>
        <v xml:space="preserve"> </v>
      </c>
      <c r="H429" s="19"/>
    </row>
    <row r="430" spans="1:8" ht="15" customHeight="1" x14ac:dyDescent="0.15">
      <c r="A430" s="62"/>
      <c r="B430" s="79" t="s">
        <v>8</v>
      </c>
      <c r="C430" s="18" t="s">
        <v>1816</v>
      </c>
      <c r="D430" s="241"/>
      <c r="E430" s="18" t="s">
        <v>1817</v>
      </c>
      <c r="F430" s="155" t="str">
        <f>IF(wskakunin_sekkei9_ZIP="", "", wskakunin_sekkei9_ZIP)</f>
        <v/>
      </c>
      <c r="H430" s="19" t="s">
        <v>578</v>
      </c>
    </row>
    <row r="431" spans="1:8" ht="15" customHeight="1" x14ac:dyDescent="0.15">
      <c r="A431" s="62"/>
      <c r="B431" s="79" t="s">
        <v>11</v>
      </c>
      <c r="C431" s="18" t="s">
        <v>1818</v>
      </c>
      <c r="D431" s="155"/>
      <c r="E431" s="18" t="s">
        <v>1819</v>
      </c>
      <c r="F431" s="155" t="str">
        <f>IF(wskakunin_sekkei9__address="", "", wskakunin_sekkei9__address)</f>
        <v/>
      </c>
      <c r="H431" s="19"/>
    </row>
    <row r="432" spans="1:8" ht="15" customHeight="1" x14ac:dyDescent="0.15">
      <c r="A432" s="62"/>
      <c r="B432" s="79" t="s">
        <v>10</v>
      </c>
      <c r="C432" s="18" t="s">
        <v>1820</v>
      </c>
      <c r="D432" s="241"/>
      <c r="E432" s="18" t="s">
        <v>1821</v>
      </c>
      <c r="F432" s="155" t="str">
        <f>IF(wskakunin_sekkei9_TEL="", "", wskakunin_sekkei9_TEL)</f>
        <v/>
      </c>
      <c r="H432" s="19"/>
    </row>
    <row r="433" spans="1:8" ht="15" customHeight="1" x14ac:dyDescent="0.15">
      <c r="A433" s="62"/>
      <c r="B433" s="79" t="s">
        <v>579</v>
      </c>
      <c r="C433" s="18" t="s">
        <v>1822</v>
      </c>
      <c r="D433" s="241"/>
      <c r="E433" s="18" t="s">
        <v>1823</v>
      </c>
      <c r="F433" s="155" t="str">
        <f>IF(wskakunin_sekkei9_DOC="","",wskakunin_sekkei9_DOC)</f>
        <v/>
      </c>
      <c r="H433" s="19"/>
    </row>
    <row r="434" spans="1:8" ht="15" customHeight="1" x14ac:dyDescent="0.15">
      <c r="A434" s="62"/>
      <c r="B434" s="87"/>
      <c r="H434" s="19"/>
    </row>
    <row r="435" spans="1:8" ht="15" customHeight="1" x14ac:dyDescent="0.15">
      <c r="A435" s="1" t="s">
        <v>1887</v>
      </c>
      <c r="B435" s="51"/>
      <c r="H435" s="19"/>
    </row>
    <row r="436" spans="1:8" ht="15" customHeight="1" x14ac:dyDescent="0.15">
      <c r="A436" s="29"/>
      <c r="B436" s="79" t="s">
        <v>540</v>
      </c>
      <c r="C436" s="18" t="s">
        <v>1824</v>
      </c>
      <c r="D436" s="155"/>
      <c r="E436" s="18" t="s">
        <v>1825</v>
      </c>
      <c r="F436" s="155" t="str">
        <f>IF(wskakunin_sekkei10__sikaku="", "", wskakunin_sekkei10__sikaku)</f>
        <v/>
      </c>
      <c r="H436" s="19"/>
    </row>
    <row r="437" spans="1:8" ht="15" customHeight="1" x14ac:dyDescent="0.15">
      <c r="A437" s="34"/>
      <c r="B437" s="79" t="s">
        <v>541</v>
      </c>
      <c r="C437" s="18" t="s">
        <v>1826</v>
      </c>
      <c r="D437" s="155"/>
      <c r="E437" s="18" t="s">
        <v>1827</v>
      </c>
      <c r="F437" s="155" t="str">
        <f>IF(wskakunin_sekkei10_SIKAKU__label="","",wskakunin_sekkei10_SIKAKU__label)</f>
        <v/>
      </c>
      <c r="H437" s="19"/>
    </row>
    <row r="438" spans="1:8" ht="15" customHeight="1" x14ac:dyDescent="0.15">
      <c r="A438" s="34"/>
      <c r="B438" s="79" t="s">
        <v>536</v>
      </c>
      <c r="C438" s="18" t="s">
        <v>1828</v>
      </c>
      <c r="D438" s="155"/>
      <c r="E438" s="18" t="s">
        <v>1829</v>
      </c>
      <c r="F438" s="155" t="str">
        <f>IF(wskakunin_sekkei10_TOUROKU_KIKAN__label="","",wskakunin_sekkei10_TOUROKU_KIKAN__label)</f>
        <v/>
      </c>
      <c r="H438" s="19"/>
    </row>
    <row r="439" spans="1:8" ht="15" customHeight="1" x14ac:dyDescent="0.15">
      <c r="A439" s="34"/>
      <c r="B439" s="79" t="s">
        <v>537</v>
      </c>
      <c r="C439" s="18" t="s">
        <v>1830</v>
      </c>
      <c r="D439" s="241"/>
      <c r="E439" s="18" t="s">
        <v>1831</v>
      </c>
      <c r="F439" s="155" t="str">
        <f>IF(wskakunin_sekkei10_KENTIKUSI_NO="","",wskakunin_sekkei10_KENTIKUSI_NO)</f>
        <v/>
      </c>
      <c r="H439" s="19"/>
    </row>
    <row r="440" spans="1:8" ht="15" customHeight="1" x14ac:dyDescent="0.15">
      <c r="A440" s="46"/>
      <c r="B440" s="79" t="s">
        <v>3</v>
      </c>
      <c r="C440" s="18" t="s">
        <v>1832</v>
      </c>
      <c r="D440" s="155"/>
      <c r="E440" s="18" t="s">
        <v>1833</v>
      </c>
      <c r="F440" s="155" t="str">
        <f>IF(wskakunin_sekkei10_NAME="", "", wskakunin_sekkei10_NAME)</f>
        <v/>
      </c>
      <c r="H440" s="19"/>
    </row>
    <row r="441" spans="1:8" ht="15" customHeight="1" x14ac:dyDescent="0.15">
      <c r="A441" s="46"/>
      <c r="B441" s="79" t="s">
        <v>542</v>
      </c>
      <c r="C441" s="18" t="s">
        <v>1834</v>
      </c>
      <c r="D441" s="155"/>
      <c r="E441" s="18" t="s">
        <v>1835</v>
      </c>
      <c r="F441" s="155" t="str">
        <f>IF(wskakunin_sekkei10_JIMU__sikaku="", "", wskakunin_sekkei10_JIMU__sikaku)</f>
        <v/>
      </c>
      <c r="H441" s="19"/>
    </row>
    <row r="442" spans="1:8" ht="15" customHeight="1" x14ac:dyDescent="0.15">
      <c r="A442" s="46"/>
      <c r="B442" s="79" t="s">
        <v>34</v>
      </c>
      <c r="C442" s="18" t="s">
        <v>1836</v>
      </c>
      <c r="D442" s="155"/>
      <c r="E442" s="18" t="s">
        <v>1837</v>
      </c>
      <c r="F442" s="155" t="str">
        <f>IF(wskakunin_sekkei10_JIMU_SIKAKU__label="","",wskakunin_sekkei10_JIMU_SIKAKU__label)</f>
        <v/>
      </c>
      <c r="H442" s="19"/>
    </row>
    <row r="443" spans="1:8" ht="15" customHeight="1" x14ac:dyDescent="0.15">
      <c r="A443" s="46"/>
      <c r="B443" s="79" t="s">
        <v>543</v>
      </c>
      <c r="C443" s="18" t="s">
        <v>1838</v>
      </c>
      <c r="D443" s="155"/>
      <c r="E443" s="18" t="s">
        <v>1839</v>
      </c>
      <c r="F443" s="155" t="str">
        <f>IF(wskakunin_sekkei10_JIMU_TOUROKU_KIKAN__label="","",wskakunin_sekkei10_JIMU_TOUROKU_KIKAN__label)</f>
        <v/>
      </c>
      <c r="H443" s="19"/>
    </row>
    <row r="444" spans="1:8" ht="15" customHeight="1" x14ac:dyDescent="0.15">
      <c r="A444" s="46"/>
      <c r="B444" s="79" t="s">
        <v>544</v>
      </c>
      <c r="C444" s="18" t="s">
        <v>1840</v>
      </c>
      <c r="D444" s="241"/>
      <c r="E444" s="18" t="s">
        <v>1841</v>
      </c>
      <c r="F444" s="155" t="str">
        <f>IF(wskakunin_sekkei10_JIMU_NO="","",wskakunin_sekkei10_JIMU_NO)</f>
        <v/>
      </c>
      <c r="H444" s="19"/>
    </row>
    <row r="445" spans="1:8" ht="15" customHeight="1" x14ac:dyDescent="0.15">
      <c r="A445" s="62"/>
      <c r="B445" s="79" t="s">
        <v>35</v>
      </c>
      <c r="C445" s="18" t="s">
        <v>1842</v>
      </c>
      <c r="D445" s="155"/>
      <c r="E445" s="18" t="s">
        <v>1843</v>
      </c>
      <c r="F445" s="155" t="str">
        <f>IF(wskakunin_sekkei10_JIMU_NAME="", "", wskakunin_sekkei10_JIMU_NAME)</f>
        <v/>
      </c>
      <c r="H445" s="19"/>
    </row>
    <row r="446" spans="1:8" ht="15" customHeight="1" x14ac:dyDescent="0.15">
      <c r="A446" s="46"/>
      <c r="B446" s="79" t="s">
        <v>560</v>
      </c>
      <c r="D446" s="36"/>
      <c r="E446" s="18" t="s">
        <v>1844</v>
      </c>
      <c r="F446" s="155" t="str">
        <f>wskakunin_sekkei10_JIMU_NAME&amp;" "&amp;wskakunin_sekkei10_NAME</f>
        <v xml:space="preserve"> </v>
      </c>
      <c r="H446" s="19"/>
    </row>
    <row r="447" spans="1:8" ht="15" customHeight="1" x14ac:dyDescent="0.15">
      <c r="A447" s="62"/>
      <c r="B447" s="79" t="s">
        <v>8</v>
      </c>
      <c r="C447" s="18" t="s">
        <v>1845</v>
      </c>
      <c r="D447" s="241"/>
      <c r="E447" s="18" t="s">
        <v>1846</v>
      </c>
      <c r="F447" s="155" t="str">
        <f>IF(wskakunin_sekkei10_ZIP="", "", wskakunin_sekkei10_ZIP)</f>
        <v/>
      </c>
      <c r="H447" s="19" t="s">
        <v>578</v>
      </c>
    </row>
    <row r="448" spans="1:8" ht="15" customHeight="1" x14ac:dyDescent="0.15">
      <c r="A448" s="62"/>
      <c r="B448" s="79" t="s">
        <v>11</v>
      </c>
      <c r="C448" s="18" t="s">
        <v>1847</v>
      </c>
      <c r="D448" s="155"/>
      <c r="E448" s="18" t="s">
        <v>1848</v>
      </c>
      <c r="F448" s="155" t="str">
        <f>IF(wskakunin_sekkei10__address="", "", wskakunin_sekkei10__address)</f>
        <v/>
      </c>
      <c r="H448" s="19"/>
    </row>
    <row r="449" spans="1:8" ht="15" customHeight="1" x14ac:dyDescent="0.15">
      <c r="A449" s="62"/>
      <c r="B449" s="79" t="s">
        <v>10</v>
      </c>
      <c r="C449" s="18" t="s">
        <v>1849</v>
      </c>
      <c r="D449" s="241"/>
      <c r="E449" s="18" t="s">
        <v>1850</v>
      </c>
      <c r="F449" s="155" t="str">
        <f>IF(wskakunin_sekkei10_TEL="", "", wskakunin_sekkei10_TEL)</f>
        <v/>
      </c>
      <c r="H449" s="19"/>
    </row>
    <row r="450" spans="1:8" ht="15" customHeight="1" x14ac:dyDescent="0.15">
      <c r="A450" s="62"/>
      <c r="B450" s="79" t="s">
        <v>579</v>
      </c>
      <c r="C450" s="18" t="s">
        <v>1851</v>
      </c>
      <c r="D450" s="241"/>
      <c r="E450" s="18" t="s">
        <v>1852</v>
      </c>
      <c r="F450" s="155" t="str">
        <f>IF(wskakunin_sekkei10_DOC="","",wskakunin_sekkei10_DOC)</f>
        <v/>
      </c>
      <c r="H450" s="19"/>
    </row>
    <row r="451" spans="1:8" ht="15" customHeight="1" x14ac:dyDescent="0.15">
      <c r="A451" s="62"/>
      <c r="B451" s="87"/>
      <c r="H451" s="19"/>
    </row>
    <row r="452" spans="1:8" ht="15" customHeight="1" x14ac:dyDescent="0.15">
      <c r="A452" s="1" t="s">
        <v>1882</v>
      </c>
      <c r="B452" s="51"/>
      <c r="H452" s="19"/>
    </row>
    <row r="453" spans="1:8" ht="15" customHeight="1" x14ac:dyDescent="0.15">
      <c r="A453" s="29"/>
      <c r="B453" s="79" t="s">
        <v>540</v>
      </c>
      <c r="C453" s="18" t="s">
        <v>1853</v>
      </c>
      <c r="D453" s="155"/>
      <c r="E453" s="18" t="s">
        <v>1854</v>
      </c>
      <c r="F453" s="155" t="str">
        <f>IF(wskakunin_sekkei11__sikaku="", "", wskakunin_sekkei11__sikaku)</f>
        <v/>
      </c>
      <c r="H453" s="19"/>
    </row>
    <row r="454" spans="1:8" ht="15" customHeight="1" x14ac:dyDescent="0.15">
      <c r="A454" s="34"/>
      <c r="B454" s="79" t="s">
        <v>541</v>
      </c>
      <c r="C454" s="18" t="s">
        <v>1855</v>
      </c>
      <c r="D454" s="155"/>
      <c r="E454" s="18" t="s">
        <v>1856</v>
      </c>
      <c r="F454" s="155" t="str">
        <f>IF(wskakunin_sekkei11_SIKAKU__label="","",wskakunin_sekkei11_SIKAKU__label)</f>
        <v/>
      </c>
      <c r="H454" s="19"/>
    </row>
    <row r="455" spans="1:8" ht="15" customHeight="1" x14ac:dyDescent="0.15">
      <c r="A455" s="34"/>
      <c r="B455" s="79" t="s">
        <v>536</v>
      </c>
      <c r="C455" s="18" t="s">
        <v>1857</v>
      </c>
      <c r="D455" s="155"/>
      <c r="E455" s="18" t="s">
        <v>1858</v>
      </c>
      <c r="F455" s="155" t="str">
        <f>IF(wskakunin_sekkei11_TOUROKU_KIKAN__label="","",wskakunin_sekkei11_TOUROKU_KIKAN__label)</f>
        <v/>
      </c>
      <c r="H455" s="19"/>
    </row>
    <row r="456" spans="1:8" ht="15" customHeight="1" x14ac:dyDescent="0.15">
      <c r="A456" s="34"/>
      <c r="B456" s="79" t="s">
        <v>537</v>
      </c>
      <c r="C456" s="18" t="s">
        <v>1859</v>
      </c>
      <c r="D456" s="241"/>
      <c r="E456" s="18" t="s">
        <v>1860</v>
      </c>
      <c r="F456" s="155" t="str">
        <f>IF(wskakunin_sekkei11_KENTIKUSI_NO="","",wskakunin_sekkei11_KENTIKUSI_NO)</f>
        <v/>
      </c>
      <c r="H456" s="19"/>
    </row>
    <row r="457" spans="1:8" ht="15" customHeight="1" x14ac:dyDescent="0.15">
      <c r="A457" s="46"/>
      <c r="B457" s="79" t="s">
        <v>3</v>
      </c>
      <c r="C457" s="18" t="s">
        <v>1861</v>
      </c>
      <c r="D457" s="155"/>
      <c r="E457" s="18" t="s">
        <v>1862</v>
      </c>
      <c r="F457" s="155" t="str">
        <f>IF(wskakunin_sekkei11_NAME="", "", wskakunin_sekkei11_NAME)</f>
        <v/>
      </c>
      <c r="H457" s="19"/>
    </row>
    <row r="458" spans="1:8" ht="15" customHeight="1" x14ac:dyDescent="0.15">
      <c r="A458" s="46"/>
      <c r="B458" s="79" t="s">
        <v>542</v>
      </c>
      <c r="C458" s="18" t="s">
        <v>1863</v>
      </c>
      <c r="D458" s="155"/>
      <c r="E458" s="18" t="s">
        <v>1864</v>
      </c>
      <c r="F458" s="155" t="str">
        <f>IF(wskakunin_sekkei11_JIMU__sikaku="", "", wskakunin_sekkei11_JIMU__sikaku)</f>
        <v/>
      </c>
      <c r="H458" s="19"/>
    </row>
    <row r="459" spans="1:8" ht="15" customHeight="1" x14ac:dyDescent="0.15">
      <c r="A459" s="46"/>
      <c r="B459" s="79" t="s">
        <v>34</v>
      </c>
      <c r="C459" s="18" t="s">
        <v>1865</v>
      </c>
      <c r="D459" s="155"/>
      <c r="E459" s="18" t="s">
        <v>1866</v>
      </c>
      <c r="F459" s="155" t="str">
        <f>IF(wskakunin_sekkei11_JIMU_SIKAKU__label="","",wskakunin_sekkei11_JIMU_SIKAKU__label)</f>
        <v/>
      </c>
      <c r="H459" s="19"/>
    </row>
    <row r="460" spans="1:8" ht="15" customHeight="1" x14ac:dyDescent="0.15">
      <c r="A460" s="46"/>
      <c r="B460" s="79" t="s">
        <v>543</v>
      </c>
      <c r="C460" s="18" t="s">
        <v>1867</v>
      </c>
      <c r="D460" s="155"/>
      <c r="E460" s="18" t="s">
        <v>1868</v>
      </c>
      <c r="F460" s="155" t="str">
        <f>IF(wskakunin_sekkei11_JIMU_TOUROKU_KIKAN__label="","",wskakunin_sekkei11_JIMU_TOUROKU_KIKAN__label)</f>
        <v/>
      </c>
      <c r="H460" s="19"/>
    </row>
    <row r="461" spans="1:8" ht="15" customHeight="1" x14ac:dyDescent="0.15">
      <c r="A461" s="46"/>
      <c r="B461" s="79" t="s">
        <v>544</v>
      </c>
      <c r="C461" s="18" t="s">
        <v>1869</v>
      </c>
      <c r="D461" s="241"/>
      <c r="E461" s="18" t="s">
        <v>1870</v>
      </c>
      <c r="F461" s="155" t="str">
        <f>IF(wskakunin_sekkei11_JIMU_NO="","",wskakunin_sekkei11_JIMU_NO)</f>
        <v/>
      </c>
      <c r="H461" s="19"/>
    </row>
    <row r="462" spans="1:8" ht="15" customHeight="1" x14ac:dyDescent="0.15">
      <c r="A462" s="62"/>
      <c r="B462" s="79" t="s">
        <v>35</v>
      </c>
      <c r="C462" s="18" t="s">
        <v>1871</v>
      </c>
      <c r="D462" s="155"/>
      <c r="E462" s="18" t="s">
        <v>1872</v>
      </c>
      <c r="F462" s="155" t="str">
        <f>IF(wskakunin_sekkei11_JIMU_NAME="", "", wskakunin_sekkei11_JIMU_NAME)</f>
        <v/>
      </c>
      <c r="H462" s="19"/>
    </row>
    <row r="463" spans="1:8" ht="15" customHeight="1" x14ac:dyDescent="0.15">
      <c r="A463" s="46"/>
      <c r="B463" s="79" t="s">
        <v>560</v>
      </c>
      <c r="D463" s="36"/>
      <c r="E463" s="18" t="s">
        <v>1873</v>
      </c>
      <c r="F463" s="155" t="str">
        <f>wskakunin_sekkei11_JIMU_NAME&amp;" "&amp;wskakunin_sekkei11_NAME</f>
        <v xml:space="preserve"> </v>
      </c>
      <c r="H463" s="19"/>
    </row>
    <row r="464" spans="1:8" ht="15" customHeight="1" x14ac:dyDescent="0.15">
      <c r="A464" s="62"/>
      <c r="B464" s="79" t="s">
        <v>8</v>
      </c>
      <c r="C464" s="18" t="s">
        <v>1874</v>
      </c>
      <c r="D464" s="241"/>
      <c r="E464" s="18" t="s">
        <v>1875</v>
      </c>
      <c r="F464" s="155" t="str">
        <f>IF(wskakunin_sekkei11_ZIP="", "", wskakunin_sekkei11_ZIP)</f>
        <v/>
      </c>
      <c r="H464" s="19" t="s">
        <v>578</v>
      </c>
    </row>
    <row r="465" spans="1:8" ht="15" customHeight="1" x14ac:dyDescent="0.15">
      <c r="A465" s="62"/>
      <c r="B465" s="79" t="s">
        <v>11</v>
      </c>
      <c r="C465" s="18" t="s">
        <v>1876</v>
      </c>
      <c r="D465" s="155"/>
      <c r="E465" s="18" t="s">
        <v>1877</v>
      </c>
      <c r="F465" s="155" t="str">
        <f>IF(wskakunin_sekkei11__address="", "", wskakunin_sekkei11__address)</f>
        <v/>
      </c>
      <c r="H465" s="19"/>
    </row>
    <row r="466" spans="1:8" ht="15" customHeight="1" x14ac:dyDescent="0.15">
      <c r="A466" s="62"/>
      <c r="B466" s="79" t="s">
        <v>10</v>
      </c>
      <c r="C466" s="18" t="s">
        <v>1878</v>
      </c>
      <c r="D466" s="241"/>
      <c r="E466" s="18" t="s">
        <v>1879</v>
      </c>
      <c r="F466" s="155" t="str">
        <f>IF(wskakunin_sekkei11_TEL="", "", wskakunin_sekkei11_TEL)</f>
        <v/>
      </c>
      <c r="H466" s="19"/>
    </row>
    <row r="467" spans="1:8" ht="15" customHeight="1" x14ac:dyDescent="0.15">
      <c r="A467" s="62"/>
      <c r="B467" s="79" t="s">
        <v>579</v>
      </c>
      <c r="C467" s="18" t="s">
        <v>1880</v>
      </c>
      <c r="D467" s="241"/>
      <c r="E467" s="18" t="s">
        <v>1881</v>
      </c>
      <c r="F467" s="155" t="str">
        <f>IF(wskakunin_sekkei11_DOC="","",wskakunin_sekkei11_DOC)</f>
        <v/>
      </c>
      <c r="H467" s="19"/>
    </row>
    <row r="468" spans="1:8" ht="15" customHeight="1" x14ac:dyDescent="0.15">
      <c r="A468" s="62"/>
      <c r="B468" s="87"/>
      <c r="G468" s="19"/>
      <c r="H468" s="19"/>
    </row>
    <row r="469" spans="1:8" ht="15" customHeight="1" x14ac:dyDescent="0.15">
      <c r="A469" s="1" t="s">
        <v>2208</v>
      </c>
      <c r="B469" s="51"/>
      <c r="H469" s="19"/>
    </row>
    <row r="470" spans="1:8" ht="15" customHeight="1" x14ac:dyDescent="0.15">
      <c r="A470" s="29"/>
      <c r="B470" s="79" t="s">
        <v>540</v>
      </c>
      <c r="C470" s="18" t="s">
        <v>2179</v>
      </c>
      <c r="D470" s="155"/>
      <c r="E470" s="18" t="s">
        <v>2180</v>
      </c>
      <c r="F470" s="155" t="str">
        <f>IF(wskakunin_sekkei12__sikaku="", "", wskakunin_sekkei12__sikaku)</f>
        <v/>
      </c>
      <c r="H470" s="19"/>
    </row>
    <row r="471" spans="1:8" ht="15" customHeight="1" x14ac:dyDescent="0.15">
      <c r="A471" s="34"/>
      <c r="B471" s="79" t="s">
        <v>541</v>
      </c>
      <c r="C471" s="18" t="s">
        <v>2181</v>
      </c>
      <c r="D471" s="155"/>
      <c r="E471" s="18" t="s">
        <v>2182</v>
      </c>
      <c r="F471" s="155" t="str">
        <f>IF(wskakunin_sekkei12_SIKAKU__label="","",wskakunin_sekkei12_SIKAKU__label)</f>
        <v/>
      </c>
      <c r="H471" s="19"/>
    </row>
    <row r="472" spans="1:8" ht="15" customHeight="1" x14ac:dyDescent="0.15">
      <c r="A472" s="34"/>
      <c r="B472" s="79" t="s">
        <v>536</v>
      </c>
      <c r="C472" s="18" t="s">
        <v>2183</v>
      </c>
      <c r="D472" s="155"/>
      <c r="E472" s="18" t="s">
        <v>2184</v>
      </c>
      <c r="F472" s="155" t="str">
        <f>IF(wskakunin_sekkei12_TOUROKU_KIKAN__label="","",wskakunin_sekkei12_TOUROKU_KIKAN__label)</f>
        <v/>
      </c>
      <c r="H472" s="19"/>
    </row>
    <row r="473" spans="1:8" ht="15" customHeight="1" x14ac:dyDescent="0.15">
      <c r="A473" s="34"/>
      <c r="B473" s="79" t="s">
        <v>537</v>
      </c>
      <c r="C473" s="18" t="s">
        <v>2185</v>
      </c>
      <c r="D473" s="241"/>
      <c r="E473" s="18" t="s">
        <v>2186</v>
      </c>
      <c r="F473" s="155" t="str">
        <f>IF(wskakunin_sekkei12_KENTIKUSI_NO="","",wskakunin_sekkei12_KENTIKUSI_NO)</f>
        <v/>
      </c>
      <c r="H473" s="19"/>
    </row>
    <row r="474" spans="1:8" ht="15" customHeight="1" x14ac:dyDescent="0.15">
      <c r="A474" s="46"/>
      <c r="B474" s="79" t="s">
        <v>3</v>
      </c>
      <c r="C474" s="18" t="s">
        <v>2187</v>
      </c>
      <c r="D474" s="155"/>
      <c r="E474" s="18" t="s">
        <v>2188</v>
      </c>
      <c r="F474" s="155" t="str">
        <f>IF(wskakunin_sekkei12_NAME="", "", wskakunin_sekkei12_NAME)</f>
        <v/>
      </c>
      <c r="H474" s="19"/>
    </row>
    <row r="475" spans="1:8" ht="15" customHeight="1" x14ac:dyDescent="0.15">
      <c r="A475" s="46"/>
      <c r="B475" s="79" t="s">
        <v>542</v>
      </c>
      <c r="C475" s="18" t="s">
        <v>2189</v>
      </c>
      <c r="D475" s="155"/>
      <c r="E475" s="18" t="s">
        <v>2190</v>
      </c>
      <c r="F475" s="155" t="str">
        <f>IF(wskakunin_sekkei12_JIMU__sikaku="", "", wskakunin_sekkei12_JIMU__sikaku)</f>
        <v/>
      </c>
      <c r="H475" s="19"/>
    </row>
    <row r="476" spans="1:8" ht="15" customHeight="1" x14ac:dyDescent="0.15">
      <c r="A476" s="46"/>
      <c r="B476" s="79" t="s">
        <v>34</v>
      </c>
      <c r="C476" s="18" t="s">
        <v>2191</v>
      </c>
      <c r="D476" s="155"/>
      <c r="E476" s="18" t="s">
        <v>2192</v>
      </c>
      <c r="F476" s="155" t="str">
        <f>IF(wskakunin_sekkei12_JIMU_SIKAKU__label="","",wskakunin_sekkei12_JIMU_SIKAKU__label)</f>
        <v/>
      </c>
      <c r="H476" s="19"/>
    </row>
    <row r="477" spans="1:8" ht="15" customHeight="1" x14ac:dyDescent="0.15">
      <c r="A477" s="46"/>
      <c r="B477" s="79" t="s">
        <v>543</v>
      </c>
      <c r="C477" s="18" t="s">
        <v>2193</v>
      </c>
      <c r="D477" s="155"/>
      <c r="E477" s="18" t="s">
        <v>2194</v>
      </c>
      <c r="F477" s="155" t="str">
        <f>IF(wskakunin_sekkei12_JIMU_TOUROKU_KIKAN__label="","",wskakunin_sekkei12_JIMU_TOUROKU_KIKAN__label)</f>
        <v/>
      </c>
      <c r="H477" s="19"/>
    </row>
    <row r="478" spans="1:8" ht="15" customHeight="1" x14ac:dyDescent="0.15">
      <c r="A478" s="46"/>
      <c r="B478" s="79" t="s">
        <v>544</v>
      </c>
      <c r="C478" s="18" t="s">
        <v>2195</v>
      </c>
      <c r="D478" s="241"/>
      <c r="E478" s="18" t="s">
        <v>2196</v>
      </c>
      <c r="F478" s="155" t="str">
        <f>IF(wskakunin_sekkei12_JIMU_NO="","",wskakunin_sekkei12_JIMU_NO)</f>
        <v/>
      </c>
      <c r="H478" s="19"/>
    </row>
    <row r="479" spans="1:8" ht="15" customHeight="1" x14ac:dyDescent="0.15">
      <c r="A479" s="62"/>
      <c r="B479" s="79" t="s">
        <v>35</v>
      </c>
      <c r="C479" s="18" t="s">
        <v>2197</v>
      </c>
      <c r="D479" s="155"/>
      <c r="E479" s="18" t="s">
        <v>2198</v>
      </c>
      <c r="F479" s="155" t="str">
        <f>IF(wskakunin_sekkei12_JIMU_NAME="", "", wskakunin_sekkei12_JIMU_NAME)</f>
        <v/>
      </c>
      <c r="H479" s="19"/>
    </row>
    <row r="480" spans="1:8" ht="15" customHeight="1" x14ac:dyDescent="0.15">
      <c r="A480" s="46"/>
      <c r="B480" s="79" t="s">
        <v>560</v>
      </c>
      <c r="D480" s="36"/>
      <c r="E480" s="18" t="s">
        <v>2199</v>
      </c>
      <c r="F480" s="155" t="str">
        <f>wskakunin_sekkei12_JIMU_NAME&amp;" "&amp;wskakunin_sekkei12_NAME</f>
        <v xml:space="preserve"> </v>
      </c>
      <c r="H480" s="19"/>
    </row>
    <row r="481" spans="1:8" ht="15" customHeight="1" x14ac:dyDescent="0.15">
      <c r="A481" s="62"/>
      <c r="B481" s="79" t="s">
        <v>8</v>
      </c>
      <c r="C481" s="18" t="s">
        <v>2200</v>
      </c>
      <c r="D481" s="241"/>
      <c r="E481" s="18" t="s">
        <v>2201</v>
      </c>
      <c r="F481" s="155" t="str">
        <f>IF(wskakunin_sekkei12_ZIP="", "", wskakunin_sekkei12_ZIP)</f>
        <v/>
      </c>
      <c r="H481" s="19" t="s">
        <v>578</v>
      </c>
    </row>
    <row r="482" spans="1:8" ht="15" customHeight="1" x14ac:dyDescent="0.15">
      <c r="A482" s="62"/>
      <c r="B482" s="79" t="s">
        <v>11</v>
      </c>
      <c r="C482" s="18" t="s">
        <v>2202</v>
      </c>
      <c r="D482" s="155"/>
      <c r="E482" s="18" t="s">
        <v>2203</v>
      </c>
      <c r="F482" s="155" t="str">
        <f>IF(wskakunin_sekkei12__address="", "", wskakunin_sekkei12__address)</f>
        <v/>
      </c>
      <c r="H482" s="19"/>
    </row>
    <row r="483" spans="1:8" ht="15" customHeight="1" x14ac:dyDescent="0.15">
      <c r="A483" s="62"/>
      <c r="B483" s="79" t="s">
        <v>10</v>
      </c>
      <c r="C483" s="18" t="s">
        <v>2204</v>
      </c>
      <c r="D483" s="241"/>
      <c r="E483" s="18" t="s">
        <v>2205</v>
      </c>
      <c r="F483" s="155" t="str">
        <f>IF(wskakunin_sekkei12_TEL="", "", wskakunin_sekkei12_TEL)</f>
        <v/>
      </c>
      <c r="H483" s="19"/>
    </row>
    <row r="484" spans="1:8" ht="15" customHeight="1" x14ac:dyDescent="0.15">
      <c r="A484" s="62"/>
      <c r="B484" s="79" t="s">
        <v>579</v>
      </c>
      <c r="C484" s="18" t="s">
        <v>2206</v>
      </c>
      <c r="D484" s="241"/>
      <c r="E484" s="18" t="s">
        <v>2207</v>
      </c>
      <c r="F484" s="155" t="str">
        <f>IF(wskakunin_sekkei12_DOC="","",wskakunin_sekkei12_DOC)</f>
        <v/>
      </c>
      <c r="H484" s="19"/>
    </row>
    <row r="485" spans="1:8" ht="15" customHeight="1" x14ac:dyDescent="0.15">
      <c r="A485" s="62"/>
      <c r="B485" s="87"/>
      <c r="G485" s="19"/>
      <c r="H485" s="19"/>
    </row>
    <row r="486" spans="1:8" s="22" customFormat="1" ht="15" customHeight="1" x14ac:dyDescent="0.15">
      <c r="A486" s="83" t="s">
        <v>739</v>
      </c>
      <c r="B486" s="103"/>
    </row>
    <row r="487" spans="1:8" s="22" customFormat="1" ht="15" customHeight="1" x14ac:dyDescent="0.15">
      <c r="A487" s="44" t="s">
        <v>740</v>
      </c>
      <c r="B487" s="104"/>
    </row>
    <row r="488" spans="1:8" s="22" customFormat="1" ht="15" customHeight="1" x14ac:dyDescent="0.15">
      <c r="A488" s="105"/>
      <c r="B488" s="76" t="s">
        <v>586</v>
      </c>
      <c r="C488" s="35" t="s">
        <v>741</v>
      </c>
      <c r="D488" s="250"/>
      <c r="E488" s="35" t="s">
        <v>742</v>
      </c>
      <c r="F488" s="252" t="str">
        <f>IF(wskakunin_20kouzou101_NAME="","",wskakunin_20kouzou101_NAME)</f>
        <v/>
      </c>
    </row>
    <row r="489" spans="1:8" s="22" customFormat="1" ht="15" customHeight="1" x14ac:dyDescent="0.15">
      <c r="A489" s="105"/>
      <c r="B489" s="76" t="s">
        <v>584</v>
      </c>
      <c r="C489" s="35" t="s">
        <v>2482</v>
      </c>
      <c r="D489" s="250"/>
      <c r="E489" s="35" t="s">
        <v>2483</v>
      </c>
      <c r="F489" s="253" t="str">
        <f>IF(wskakunin_20kouzou101_KOUZOUSEKKEI_KOUFU_NO="","",wskakunin_20kouzou101_KOUZOUSEKKEI_KOUFU_NO)</f>
        <v/>
      </c>
    </row>
    <row r="490" spans="1:8" s="22" customFormat="1" ht="15" customHeight="1" x14ac:dyDescent="0.15">
      <c r="A490" s="105"/>
      <c r="B490" s="76" t="s">
        <v>586</v>
      </c>
      <c r="C490" s="35" t="s">
        <v>2503</v>
      </c>
      <c r="D490" s="250"/>
      <c r="E490" s="35" t="s">
        <v>2504</v>
      </c>
      <c r="F490" s="253" t="str">
        <f>IF(wskakunin_20kouzou102_NAME="","",wskakunin_20kouzou102_NAME)</f>
        <v/>
      </c>
    </row>
    <row r="491" spans="1:8" s="22" customFormat="1" ht="15" customHeight="1" x14ac:dyDescent="0.15">
      <c r="A491" s="105"/>
      <c r="B491" s="76" t="s">
        <v>584</v>
      </c>
      <c r="C491" s="35" t="s">
        <v>2505</v>
      </c>
      <c r="D491" s="250"/>
      <c r="E491" s="35" t="s">
        <v>2506</v>
      </c>
      <c r="F491" s="253" t="str">
        <f>IF(wskakunin_20kouzou102_KOUZOUSEKKEI_KOUFU_NO="","",wskakunin_20kouzou102_KOUZOUSEKKEI_KOUFU_NO)</f>
        <v/>
      </c>
    </row>
    <row r="492" spans="1:8" s="22" customFormat="1" ht="15" customHeight="1" x14ac:dyDescent="0.15">
      <c r="A492" s="105"/>
      <c r="B492" s="76" t="s">
        <v>586</v>
      </c>
      <c r="C492" s="35" t="s">
        <v>2507</v>
      </c>
      <c r="D492" s="250"/>
      <c r="E492" s="35" t="s">
        <v>2508</v>
      </c>
      <c r="F492" s="253" t="str">
        <f>IF(wskakunin_20kouzou103_NAME="","",wskakunin_20kouzou103_NAME)</f>
        <v/>
      </c>
    </row>
    <row r="493" spans="1:8" s="22" customFormat="1" ht="15" customHeight="1" x14ac:dyDescent="0.15">
      <c r="A493" s="105"/>
      <c r="B493" s="76" t="s">
        <v>584</v>
      </c>
      <c r="C493" s="35" t="s">
        <v>2509</v>
      </c>
      <c r="D493" s="250"/>
      <c r="E493" s="35" t="s">
        <v>2510</v>
      </c>
      <c r="F493" s="253" t="str">
        <f>IF(wskakunin_20kouzou103_KOUZOUSEKKEI_KOUFU_NO="","",wskakunin_20kouzou103_KOUZOUSEKKEI_KOUFU_NO)</f>
        <v/>
      </c>
    </row>
    <row r="494" spans="1:8" s="22" customFormat="1" ht="15" customHeight="1" x14ac:dyDescent="0.15">
      <c r="A494" s="105"/>
      <c r="B494" s="76" t="s">
        <v>586</v>
      </c>
      <c r="C494" s="35" t="s">
        <v>2511</v>
      </c>
      <c r="D494" s="250"/>
      <c r="E494" s="35" t="s">
        <v>2512</v>
      </c>
      <c r="F494" s="253" t="str">
        <f>IF(wskakunin_20kouzou104_NAME="","",wskakunin_20kouzou104_NAME)</f>
        <v/>
      </c>
    </row>
    <row r="495" spans="1:8" s="22" customFormat="1" ht="15" customHeight="1" x14ac:dyDescent="0.15">
      <c r="A495" s="105"/>
      <c r="B495" s="76" t="s">
        <v>584</v>
      </c>
      <c r="C495" s="35" t="s">
        <v>2513</v>
      </c>
      <c r="D495" s="250"/>
      <c r="E495" s="35" t="s">
        <v>2514</v>
      </c>
      <c r="F495" s="253" t="str">
        <f>IF(wskakunin_20kouzou104_KOUZOUSEKKEI_KOUFU_NO="","",wskakunin_20kouzou104_KOUZOUSEKKEI_KOUFU_NO)</f>
        <v/>
      </c>
    </row>
    <row r="496" spans="1:8" s="22" customFormat="1" ht="15" customHeight="1" x14ac:dyDescent="0.15">
      <c r="A496" s="105"/>
      <c r="B496" s="76" t="s">
        <v>586</v>
      </c>
      <c r="C496" s="35" t="s">
        <v>2515</v>
      </c>
      <c r="D496" s="251"/>
      <c r="E496" s="35" t="s">
        <v>2516</v>
      </c>
      <c r="F496" s="253" t="str">
        <f>IF(wskakunin_20kouzou105_NAME="","",wskakunin_20kouzou105_NAME)</f>
        <v/>
      </c>
    </row>
    <row r="497" spans="1:6" s="22" customFormat="1" ht="15" customHeight="1" x14ac:dyDescent="0.15">
      <c r="A497" s="105"/>
      <c r="B497" s="76" t="s">
        <v>584</v>
      </c>
      <c r="C497" s="35" t="s">
        <v>2517</v>
      </c>
      <c r="D497" s="250"/>
      <c r="E497" s="35" t="s">
        <v>2518</v>
      </c>
      <c r="F497" s="253" t="str">
        <f>IF(wskakunin_20kouzou105_KOUZOUSEKKEI_KOUFU_NO="","",wskakunin_20kouzou105_KOUZOUSEKKEI_KOUFU_NO)</f>
        <v/>
      </c>
    </row>
    <row r="498" spans="1:6" ht="15" customHeight="1" x14ac:dyDescent="0.15">
      <c r="A498" s="52"/>
      <c r="B498" s="76"/>
    </row>
    <row r="499" spans="1:6" s="22" customFormat="1" ht="15" customHeight="1" x14ac:dyDescent="0.15">
      <c r="A499" s="44" t="s">
        <v>743</v>
      </c>
      <c r="B499" s="104"/>
      <c r="C499" s="212"/>
      <c r="D499" s="213"/>
      <c r="E499" s="212"/>
      <c r="F499" s="212"/>
    </row>
    <row r="500" spans="1:6" s="22" customFormat="1" ht="15" customHeight="1" x14ac:dyDescent="0.15">
      <c r="A500" s="105"/>
      <c r="B500" s="76" t="s">
        <v>586</v>
      </c>
      <c r="C500" s="35" t="s">
        <v>744</v>
      </c>
      <c r="D500" s="250"/>
      <c r="E500" s="35" t="s">
        <v>745</v>
      </c>
      <c r="F500" s="252" t="str">
        <f>IF(wskakunin_20kouzou301_NAME="","",wskakunin_20kouzou301_NAME)</f>
        <v/>
      </c>
    </row>
    <row r="501" spans="1:6" s="22" customFormat="1" ht="15" customHeight="1" x14ac:dyDescent="0.15">
      <c r="A501" s="105"/>
      <c r="B501" s="76" t="s">
        <v>584</v>
      </c>
      <c r="C501" s="212" t="s">
        <v>2484</v>
      </c>
      <c r="D501" s="250"/>
      <c r="E501" s="212" t="s">
        <v>2485</v>
      </c>
      <c r="F501" s="252" t="str">
        <f>IF(wskakunin_20kouzou301_KOUZOUSEKKEI_KOUFU_NO="","",wskakunin_20kouzou301_KOUZOUSEKKEI_KOUFU_NO)</f>
        <v/>
      </c>
    </row>
    <row r="502" spans="1:6" s="22" customFormat="1" ht="15" customHeight="1" x14ac:dyDescent="0.15">
      <c r="A502" s="105"/>
      <c r="B502" s="76" t="s">
        <v>586</v>
      </c>
      <c r="C502" s="212" t="s">
        <v>2519</v>
      </c>
      <c r="D502" s="250"/>
      <c r="E502" s="212" t="s">
        <v>2520</v>
      </c>
      <c r="F502" s="252" t="str">
        <f>IF(wskakunin_20kouzou302_NAME="","",wskakunin_20kouzou302_NAME)</f>
        <v/>
      </c>
    </row>
    <row r="503" spans="1:6" s="22" customFormat="1" ht="15" customHeight="1" x14ac:dyDescent="0.15">
      <c r="A503" s="105"/>
      <c r="B503" s="76" t="s">
        <v>584</v>
      </c>
      <c r="C503" s="212" t="s">
        <v>2521</v>
      </c>
      <c r="D503" s="250"/>
      <c r="E503" s="212" t="s">
        <v>2522</v>
      </c>
      <c r="F503" s="252" t="str">
        <f>IF(wskakunin_20kouzou302_KOUZOUSEKKEI_KOUFU_NO="","",wskakunin_20kouzou302_KOUZOUSEKKEI_KOUFU_NO)</f>
        <v/>
      </c>
    </row>
    <row r="504" spans="1:6" s="22" customFormat="1" ht="15" customHeight="1" x14ac:dyDescent="0.15">
      <c r="A504" s="105"/>
      <c r="B504" s="76" t="s">
        <v>586</v>
      </c>
      <c r="C504" s="212" t="s">
        <v>2523</v>
      </c>
      <c r="D504" s="250"/>
      <c r="E504" s="212" t="s">
        <v>2524</v>
      </c>
      <c r="F504" s="252" t="str">
        <f>IF(wskakunin_20kouzou303_NAME="","",wskakunin_20kouzou303_NAME)</f>
        <v/>
      </c>
    </row>
    <row r="505" spans="1:6" s="22" customFormat="1" ht="15" customHeight="1" x14ac:dyDescent="0.15">
      <c r="A505" s="105"/>
      <c r="B505" s="76" t="s">
        <v>584</v>
      </c>
      <c r="C505" s="212" t="s">
        <v>2525</v>
      </c>
      <c r="D505" s="250"/>
      <c r="E505" s="212" t="s">
        <v>2526</v>
      </c>
      <c r="F505" s="252" t="str">
        <f>IF(wskakunin_20kouzou303_KOUZOUSEKKEI_KOUFU_NO="","",wskakunin_20kouzou303_KOUZOUSEKKEI_KOUFU_NO)</f>
        <v/>
      </c>
    </row>
    <row r="506" spans="1:6" s="22" customFormat="1" ht="15" customHeight="1" x14ac:dyDescent="0.15">
      <c r="A506" s="105"/>
      <c r="B506" s="76" t="s">
        <v>586</v>
      </c>
      <c r="C506" s="212" t="s">
        <v>2527</v>
      </c>
      <c r="D506" s="250"/>
      <c r="E506" s="212" t="s">
        <v>2528</v>
      </c>
      <c r="F506" s="252" t="str">
        <f>IF(wskakunin_20kouzou304_NAME="","",wskakunin_20kouzou304_NAME)</f>
        <v/>
      </c>
    </row>
    <row r="507" spans="1:6" s="22" customFormat="1" ht="15" customHeight="1" x14ac:dyDescent="0.15">
      <c r="A507" s="105"/>
      <c r="B507" s="76" t="s">
        <v>584</v>
      </c>
      <c r="C507" s="212" t="s">
        <v>2529</v>
      </c>
      <c r="D507" s="250"/>
      <c r="E507" s="212" t="s">
        <v>2530</v>
      </c>
      <c r="F507" s="252" t="str">
        <f>IF(wskakunin_20kouzou304_KOUZOUSEKKEI_KOUFU_NO="","",wskakunin_20kouzou304_KOUZOUSEKKEI_KOUFU_NO)</f>
        <v/>
      </c>
    </row>
    <row r="508" spans="1:6" s="22" customFormat="1" ht="15" customHeight="1" x14ac:dyDescent="0.15">
      <c r="A508" s="105"/>
      <c r="B508" s="76" t="s">
        <v>586</v>
      </c>
      <c r="C508" s="212" t="s">
        <v>2531</v>
      </c>
      <c r="D508" s="250"/>
      <c r="E508" s="212" t="s">
        <v>2532</v>
      </c>
      <c r="F508" s="252" t="str">
        <f>IF(wskakunin_20kouzou305_NAME="","",wskakunin_20kouzou305_NAME)</f>
        <v/>
      </c>
    </row>
    <row r="509" spans="1:6" s="22" customFormat="1" ht="15" customHeight="1" x14ac:dyDescent="0.15">
      <c r="A509" s="105"/>
      <c r="B509" s="76" t="s">
        <v>584</v>
      </c>
      <c r="C509" s="212" t="s">
        <v>2533</v>
      </c>
      <c r="D509" s="250"/>
      <c r="E509" s="212" t="s">
        <v>2534</v>
      </c>
      <c r="F509" s="252" t="str">
        <f>IF(wskakunin_20kouzou305_KOUZOUSEKKEI_KOUFU_NO="","",wskakunin_20kouzou305_KOUZOUSEKKEI_KOUFU_NO)</f>
        <v/>
      </c>
    </row>
    <row r="510" spans="1:6" ht="15" customHeight="1" x14ac:dyDescent="0.15">
      <c r="A510" s="52"/>
      <c r="B510" s="76"/>
    </row>
    <row r="511" spans="1:6" s="22" customFormat="1" ht="15" customHeight="1" x14ac:dyDescent="0.15">
      <c r="A511" s="44" t="s">
        <v>746</v>
      </c>
      <c r="B511" s="104"/>
      <c r="C511" s="212"/>
      <c r="D511" s="213"/>
      <c r="E511" s="212"/>
      <c r="F511" s="212"/>
    </row>
    <row r="512" spans="1:6" s="22" customFormat="1" ht="15" customHeight="1" x14ac:dyDescent="0.15">
      <c r="A512" s="105"/>
      <c r="B512" s="76" t="s">
        <v>586</v>
      </c>
      <c r="C512" s="35" t="s">
        <v>747</v>
      </c>
      <c r="D512" s="250"/>
      <c r="E512" s="35" t="s">
        <v>748</v>
      </c>
      <c r="F512" s="253" t="str">
        <f>IF(wskakunin_20setubi101_NAME="","",wskakunin_20setubi101_NAME)</f>
        <v/>
      </c>
    </row>
    <row r="513" spans="1:6" s="22" customFormat="1" ht="15" customHeight="1" x14ac:dyDescent="0.15">
      <c r="A513" s="105"/>
      <c r="B513" s="76" t="s">
        <v>749</v>
      </c>
      <c r="C513" s="35" t="s">
        <v>2486</v>
      </c>
      <c r="D513" s="250"/>
      <c r="E513" s="35" t="s">
        <v>2487</v>
      </c>
      <c r="F513" s="253" t="str">
        <f>IF(wskakunin_20setubi101_SETUBISEKKEI_KOUFU_NO="","",wskakunin_20setubi101_SETUBISEKKEI_KOUFU_NO)</f>
        <v/>
      </c>
    </row>
    <row r="514" spans="1:6" s="22" customFormat="1" ht="15" customHeight="1" x14ac:dyDescent="0.15">
      <c r="A514" s="105"/>
      <c r="B514" s="76" t="s">
        <v>586</v>
      </c>
      <c r="C514" s="35" t="s">
        <v>750</v>
      </c>
      <c r="D514" s="250"/>
      <c r="E514" s="35" t="s">
        <v>751</v>
      </c>
      <c r="F514" s="253" t="str">
        <f>IF(wskakunin_20setubi102_NAME="","",wskakunin_20setubi102_NAME)</f>
        <v/>
      </c>
    </row>
    <row r="515" spans="1:6" s="22" customFormat="1" ht="15" customHeight="1" x14ac:dyDescent="0.15">
      <c r="A515" s="105"/>
      <c r="B515" s="76" t="s">
        <v>749</v>
      </c>
      <c r="C515" s="35" t="s">
        <v>2488</v>
      </c>
      <c r="D515" s="250"/>
      <c r="E515" s="35" t="s">
        <v>2489</v>
      </c>
      <c r="F515" s="253" t="str">
        <f>IF(wskakunin_20setubi102_SETUBISEKKEI_KOUFU_NO="","",wskakunin_20setubi102_SETUBISEKKEI_KOUFU_NO)</f>
        <v/>
      </c>
    </row>
    <row r="516" spans="1:6" s="22" customFormat="1" ht="15" customHeight="1" x14ac:dyDescent="0.15">
      <c r="A516" s="105"/>
      <c r="B516" s="76" t="s">
        <v>586</v>
      </c>
      <c r="C516" s="35" t="s">
        <v>752</v>
      </c>
      <c r="D516" s="250"/>
      <c r="E516" s="35" t="s">
        <v>753</v>
      </c>
      <c r="F516" s="253" t="str">
        <f>IF(wskakunin_20setubi103_NAME="","",wskakunin_20setubi103_NAME)</f>
        <v/>
      </c>
    </row>
    <row r="517" spans="1:6" s="22" customFormat="1" ht="15" customHeight="1" x14ac:dyDescent="0.15">
      <c r="A517" s="105"/>
      <c r="B517" s="76" t="s">
        <v>749</v>
      </c>
      <c r="C517" s="35" t="s">
        <v>2490</v>
      </c>
      <c r="D517" s="250"/>
      <c r="E517" s="35" t="s">
        <v>2491</v>
      </c>
      <c r="F517" s="253" t="str">
        <f>IF(wskakunin_20setubi103_SETUBISEKKEI_KOUFU_NO="","",wskakunin_20setubi103_SETUBISEKKEI_KOUFU_NO)</f>
        <v/>
      </c>
    </row>
    <row r="518" spans="1:6" s="22" customFormat="1" ht="15" customHeight="1" x14ac:dyDescent="0.15">
      <c r="A518" s="105"/>
      <c r="B518" s="76" t="s">
        <v>586</v>
      </c>
      <c r="C518" s="35" t="s">
        <v>2535</v>
      </c>
      <c r="D518" s="250"/>
      <c r="E518" s="35" t="s">
        <v>2536</v>
      </c>
      <c r="F518" s="253" t="str">
        <f>IF(wskakunin_20setubi104_NAME="","",wskakunin_20setubi104_NAME)</f>
        <v/>
      </c>
    </row>
    <row r="519" spans="1:6" s="22" customFormat="1" ht="15" customHeight="1" x14ac:dyDescent="0.15">
      <c r="A519" s="105"/>
      <c r="B519" s="76" t="s">
        <v>749</v>
      </c>
      <c r="C519" s="35" t="s">
        <v>2537</v>
      </c>
      <c r="D519" s="250"/>
      <c r="E519" s="35" t="s">
        <v>2538</v>
      </c>
      <c r="F519" s="253" t="str">
        <f>IF(wskakunin_20setubi104_SETUBISEKKEI_KOUFU_NO="","",wskakunin_20setubi104_SETUBISEKKEI_KOUFU_NO)</f>
        <v/>
      </c>
    </row>
    <row r="520" spans="1:6" s="22" customFormat="1" ht="15" customHeight="1" x14ac:dyDescent="0.15">
      <c r="A520" s="105"/>
      <c r="B520" s="76" t="s">
        <v>586</v>
      </c>
      <c r="C520" s="35" t="s">
        <v>2539</v>
      </c>
      <c r="D520" s="250"/>
      <c r="E520" s="35" t="s">
        <v>2540</v>
      </c>
      <c r="F520" s="253" t="str">
        <f>IF(wskakunin_20setubi105_NAME="","",wskakunin_20setubi105_NAME)</f>
        <v/>
      </c>
    </row>
    <row r="521" spans="1:6" s="22" customFormat="1" ht="15" customHeight="1" x14ac:dyDescent="0.15">
      <c r="A521" s="105"/>
      <c r="B521" s="76" t="s">
        <v>749</v>
      </c>
      <c r="C521" s="35" t="s">
        <v>2541</v>
      </c>
      <c r="D521" s="250"/>
      <c r="E521" s="35" t="s">
        <v>2542</v>
      </c>
      <c r="F521" s="253" t="str">
        <f>IF(wskakunin_20setubi105_SETUBISEKKEI_KOUFU_NO="","",wskakunin_20setubi105_SETUBISEKKEI_KOUFU_NO)</f>
        <v/>
      </c>
    </row>
    <row r="522" spans="1:6" ht="15" customHeight="1" x14ac:dyDescent="0.15">
      <c r="A522" s="52"/>
      <c r="B522" s="76"/>
    </row>
    <row r="523" spans="1:6" s="22" customFormat="1" ht="15" customHeight="1" x14ac:dyDescent="0.15">
      <c r="A523" s="44" t="s">
        <v>754</v>
      </c>
      <c r="B523" s="104"/>
      <c r="C523" s="212"/>
      <c r="D523" s="213"/>
      <c r="E523" s="212"/>
      <c r="F523" s="212"/>
    </row>
    <row r="524" spans="1:6" s="22" customFormat="1" ht="15" customHeight="1" x14ac:dyDescent="0.15">
      <c r="A524" s="105"/>
      <c r="B524" s="76" t="s">
        <v>586</v>
      </c>
      <c r="C524" s="35" t="s">
        <v>755</v>
      </c>
      <c r="D524" s="250"/>
      <c r="E524" s="35" t="s">
        <v>756</v>
      </c>
      <c r="F524" s="253" t="str">
        <f>IF(wskakunin_20setubi301_NAME="","",wskakunin_20setubi301_NAME)</f>
        <v/>
      </c>
    </row>
    <row r="525" spans="1:6" s="22" customFormat="1" ht="15" customHeight="1" x14ac:dyDescent="0.15">
      <c r="A525" s="105"/>
      <c r="B525" s="76" t="s">
        <v>749</v>
      </c>
      <c r="C525" s="35" t="s">
        <v>2492</v>
      </c>
      <c r="D525" s="250"/>
      <c r="E525" s="35" t="s">
        <v>2493</v>
      </c>
      <c r="F525" s="253" t="str">
        <f>IF(wskakunin_20setubi301_SETUBISEKKEI_KOUFU_NO="","",wskakunin_20setubi301_SETUBISEKKEI_KOUFU_NO)</f>
        <v/>
      </c>
    </row>
    <row r="526" spans="1:6" s="22" customFormat="1" ht="15" customHeight="1" x14ac:dyDescent="0.15">
      <c r="A526" s="105"/>
      <c r="B526" s="76" t="s">
        <v>586</v>
      </c>
      <c r="C526" s="35" t="s">
        <v>757</v>
      </c>
      <c r="D526" s="250"/>
      <c r="E526" s="35" t="s">
        <v>758</v>
      </c>
      <c r="F526" s="253" t="str">
        <f>IF(wskakunin_20setubi302_NAME="","",wskakunin_20setubi302_NAME)</f>
        <v/>
      </c>
    </row>
    <row r="527" spans="1:6" s="22" customFormat="1" ht="15" customHeight="1" x14ac:dyDescent="0.15">
      <c r="A527" s="105"/>
      <c r="B527" s="76" t="s">
        <v>749</v>
      </c>
      <c r="C527" s="35" t="s">
        <v>2494</v>
      </c>
      <c r="D527" s="250"/>
      <c r="E527" s="35" t="s">
        <v>2495</v>
      </c>
      <c r="F527" s="253" t="str">
        <f>IF(wskakunin_20setubi302_SETUBISEKKEI_KOUFU_NO="","",wskakunin_20setubi302_SETUBISEKKEI_KOUFU_NO)</f>
        <v/>
      </c>
    </row>
    <row r="528" spans="1:6" s="22" customFormat="1" ht="15" customHeight="1" x14ac:dyDescent="0.15">
      <c r="A528" s="105"/>
      <c r="B528" s="76" t="s">
        <v>586</v>
      </c>
      <c r="C528" s="35" t="s">
        <v>759</v>
      </c>
      <c r="D528" s="250"/>
      <c r="E528" s="35" t="s">
        <v>760</v>
      </c>
      <c r="F528" s="253" t="str">
        <f>IF(wskakunin_20setubi303_NAME="","",wskakunin_20setubi303_NAME)</f>
        <v/>
      </c>
    </row>
    <row r="529" spans="1:22" s="22" customFormat="1" ht="15" customHeight="1" x14ac:dyDescent="0.15">
      <c r="A529" s="105"/>
      <c r="B529" s="76" t="s">
        <v>749</v>
      </c>
      <c r="C529" s="35" t="s">
        <v>2496</v>
      </c>
      <c r="D529" s="250"/>
      <c r="E529" s="35" t="s">
        <v>2497</v>
      </c>
      <c r="F529" s="253" t="str">
        <f>IF(wskakunin_20setubi303_SETUBISEKKEI_KOUFU_NO="","",wskakunin_20setubi303_SETUBISEKKEI_KOUFU_NO)</f>
        <v/>
      </c>
    </row>
    <row r="530" spans="1:22" s="22" customFormat="1" ht="15" customHeight="1" x14ac:dyDescent="0.15">
      <c r="A530" s="105"/>
      <c r="B530" s="76" t="s">
        <v>586</v>
      </c>
      <c r="C530" s="35" t="s">
        <v>2543</v>
      </c>
      <c r="D530" s="250"/>
      <c r="E530" s="35" t="s">
        <v>2544</v>
      </c>
      <c r="F530" s="253" t="str">
        <f>IF(wskakunin_20setubi304_NAME="","",wskakunin_20setubi304_NAME)</f>
        <v/>
      </c>
    </row>
    <row r="531" spans="1:22" s="22" customFormat="1" ht="15" customHeight="1" x14ac:dyDescent="0.15">
      <c r="A531" s="105"/>
      <c r="B531" s="76" t="s">
        <v>749</v>
      </c>
      <c r="C531" s="35" t="s">
        <v>2545</v>
      </c>
      <c r="D531" s="250"/>
      <c r="E531" s="35" t="s">
        <v>2546</v>
      </c>
      <c r="F531" s="253" t="str">
        <f>IF(wskakunin_20setubi304_SETUBISEKKEI_KOUFU_NO="","",wskakunin_20setubi304_SETUBISEKKEI_KOUFU_NO)</f>
        <v/>
      </c>
    </row>
    <row r="532" spans="1:22" s="22" customFormat="1" ht="15" customHeight="1" x14ac:dyDescent="0.15">
      <c r="A532" s="105"/>
      <c r="B532" s="76" t="s">
        <v>586</v>
      </c>
      <c r="C532" s="35" t="s">
        <v>2547</v>
      </c>
      <c r="D532" s="250"/>
      <c r="E532" s="35" t="s">
        <v>2548</v>
      </c>
      <c r="F532" s="253" t="str">
        <f>IF(wskakunin_20setubi305_NAME="","",wskakunin_20setubi305_NAME)</f>
        <v/>
      </c>
    </row>
    <row r="533" spans="1:22" s="22" customFormat="1" ht="15" customHeight="1" x14ac:dyDescent="0.15">
      <c r="A533" s="105"/>
      <c r="B533" s="76" t="s">
        <v>749</v>
      </c>
      <c r="C533" s="35" t="s">
        <v>2549</v>
      </c>
      <c r="D533" s="250"/>
      <c r="E533" s="35" t="s">
        <v>2550</v>
      </c>
      <c r="F533" s="253" t="str">
        <f>IF(wskakunin_20setubi305_SETUBISEKKEI_KOUFU_NO="","",wskakunin_20setubi305_SETUBISEKKEI_KOUFU_NO)</f>
        <v/>
      </c>
    </row>
    <row r="534" spans="1:22" ht="15" customHeight="1" x14ac:dyDescent="0.15">
      <c r="A534" s="53"/>
      <c r="B534" s="77"/>
    </row>
    <row r="535" spans="1:22" s="19" customFormat="1" ht="15" customHeight="1" x14ac:dyDescent="0.15">
      <c r="A535" s="39" t="s">
        <v>554</v>
      </c>
      <c r="B535" s="40"/>
      <c r="C535" s="36"/>
      <c r="D535" s="36"/>
      <c r="E535" s="36"/>
    </row>
    <row r="536" spans="1:22" s="19" customFormat="1" ht="15" customHeight="1" x14ac:dyDescent="0.15">
      <c r="A536" s="42" t="s">
        <v>585</v>
      </c>
      <c r="B536" s="43"/>
      <c r="C536" s="36"/>
      <c r="D536" s="36"/>
      <c r="E536" s="36"/>
    </row>
    <row r="537" spans="1:22" s="37" customFormat="1" ht="15" customHeight="1" x14ac:dyDescent="0.15">
      <c r="A537" s="41"/>
      <c r="B537" s="80" t="s">
        <v>586</v>
      </c>
      <c r="C537" s="18" t="s">
        <v>1329</v>
      </c>
      <c r="D537" s="241"/>
      <c r="E537" s="18" t="s">
        <v>1325</v>
      </c>
      <c r="F537" s="46" t="str">
        <f>IF(wskakunin_iken1_NAME="","",wskakunin_iken1_NAME)</f>
        <v/>
      </c>
      <c r="G537" s="19"/>
    </row>
    <row r="538" spans="1:22" s="37" customFormat="1" ht="15" customHeight="1" x14ac:dyDescent="0.15">
      <c r="A538" s="41"/>
      <c r="B538" s="80" t="s">
        <v>587</v>
      </c>
      <c r="C538" s="18" t="s">
        <v>1330</v>
      </c>
      <c r="D538" s="242"/>
      <c r="E538" s="18" t="s">
        <v>1336</v>
      </c>
      <c r="F538" s="46" t="str">
        <f>IF(wskakunin_iken1_JIMU_NAME="","",wskakunin_iken1_JIMU_NAME)</f>
        <v/>
      </c>
      <c r="G538" s="19"/>
    </row>
    <row r="539" spans="1:22" s="37" customFormat="1" ht="15" customHeight="1" x14ac:dyDescent="0.15">
      <c r="A539" s="41"/>
      <c r="B539" s="80" t="s">
        <v>553</v>
      </c>
      <c r="C539" s="18" t="s">
        <v>1331</v>
      </c>
      <c r="D539" s="242"/>
      <c r="E539" s="18" t="s">
        <v>1337</v>
      </c>
      <c r="F539" s="46" t="str">
        <f>IF(wskakunin_iken1_ZIP="","",wskakunin_iken1_ZIP)</f>
        <v/>
      </c>
      <c r="G539" s="19"/>
      <c r="I539" s="38"/>
      <c r="J539" s="38"/>
      <c r="K539" s="38"/>
      <c r="L539" s="38"/>
      <c r="M539" s="38"/>
      <c r="N539" s="38"/>
      <c r="O539" s="38"/>
      <c r="P539" s="38"/>
      <c r="Q539" s="38"/>
      <c r="R539" s="38"/>
      <c r="S539" s="38"/>
      <c r="T539" s="38"/>
      <c r="U539" s="38"/>
      <c r="V539" s="38"/>
    </row>
    <row r="540" spans="1:22" s="37" customFormat="1" ht="15" customHeight="1" x14ac:dyDescent="0.15">
      <c r="A540" s="41"/>
      <c r="B540" s="80" t="s">
        <v>588</v>
      </c>
      <c r="C540" s="18" t="s">
        <v>1332</v>
      </c>
      <c r="D540" s="242"/>
      <c r="E540" s="18" t="s">
        <v>1326</v>
      </c>
      <c r="F540" s="46" t="str">
        <f>IF(wskakunin_iken1__address="","",wskakunin_iken1__address)</f>
        <v/>
      </c>
      <c r="G540" s="19"/>
      <c r="I540" s="38"/>
      <c r="J540" s="38"/>
      <c r="K540" s="38"/>
      <c r="L540" s="38"/>
      <c r="M540" s="38"/>
      <c r="N540" s="38"/>
      <c r="O540" s="38"/>
      <c r="P540" s="38"/>
      <c r="Q540" s="38"/>
      <c r="R540" s="38"/>
      <c r="S540" s="38"/>
      <c r="T540" s="38"/>
      <c r="U540" s="38"/>
      <c r="V540" s="38"/>
    </row>
    <row r="541" spans="1:22" s="37" customFormat="1" ht="15" customHeight="1" x14ac:dyDescent="0.15">
      <c r="A541" s="41"/>
      <c r="B541" s="80" t="s">
        <v>555</v>
      </c>
      <c r="C541" s="18" t="s">
        <v>1333</v>
      </c>
      <c r="D541" s="242"/>
      <c r="E541" s="18" t="s">
        <v>1327</v>
      </c>
      <c r="F541" s="46" t="str">
        <f>IF(wskakunin_iken1_TEL="","",wskakunin_iken1_TEL)</f>
        <v/>
      </c>
      <c r="G541" s="19"/>
      <c r="I541" s="38"/>
      <c r="J541" s="38"/>
      <c r="K541" s="38"/>
      <c r="L541" s="38"/>
      <c r="M541" s="38"/>
      <c r="N541" s="38"/>
      <c r="O541" s="38"/>
      <c r="P541" s="38"/>
      <c r="Q541" s="38"/>
      <c r="R541" s="38"/>
      <c r="S541" s="38"/>
      <c r="T541" s="38"/>
      <c r="U541" s="38"/>
      <c r="V541" s="38"/>
    </row>
    <row r="542" spans="1:22" s="37" customFormat="1" ht="15" customHeight="1" x14ac:dyDescent="0.15">
      <c r="A542" s="41"/>
      <c r="B542" s="80" t="s">
        <v>556</v>
      </c>
      <c r="C542" s="18" t="s">
        <v>1334</v>
      </c>
      <c r="D542" s="242"/>
      <c r="E542" s="18" t="s">
        <v>1338</v>
      </c>
      <c r="F542" s="46" t="str">
        <f>IF(wskakunin_iken1_IKEN_NO="","",wskakunin_iken1_IKEN_NO)</f>
        <v/>
      </c>
      <c r="G542" s="19"/>
    </row>
    <row r="543" spans="1:22" s="19" customFormat="1" ht="15" customHeight="1" x14ac:dyDescent="0.15">
      <c r="A543" s="39"/>
      <c r="B543" s="81" t="s">
        <v>557</v>
      </c>
      <c r="C543" s="36" t="s">
        <v>1335</v>
      </c>
      <c r="D543" s="241"/>
      <c r="E543" s="36" t="s">
        <v>1328</v>
      </c>
      <c r="F543" s="155" t="str">
        <f>IF(wskakunin_iken1_DOC="","",wskakunin_iken1_DOC)</f>
        <v/>
      </c>
    </row>
    <row r="544" spans="1:22" s="19" customFormat="1" ht="15" customHeight="1" x14ac:dyDescent="0.15">
      <c r="A544" s="39"/>
      <c r="B544" s="82"/>
      <c r="C544" s="36"/>
    </row>
    <row r="545" spans="1:22" s="19" customFormat="1" ht="15" customHeight="1" x14ac:dyDescent="0.15">
      <c r="A545" s="42" t="s">
        <v>589</v>
      </c>
      <c r="B545" s="43"/>
      <c r="C545" s="36"/>
      <c r="D545" s="36"/>
    </row>
    <row r="546" spans="1:22" s="37" customFormat="1" ht="15" customHeight="1" x14ac:dyDescent="0.15">
      <c r="A546" s="41"/>
      <c r="B546" s="80" t="s">
        <v>586</v>
      </c>
      <c r="C546" s="18" t="s">
        <v>1346</v>
      </c>
      <c r="D546" s="254"/>
      <c r="E546" s="18" t="s">
        <v>1339</v>
      </c>
      <c r="F546" s="46" t="str">
        <f>IF(wskakunin_iken2_NAME="","",wskakunin_iken2_NAME)</f>
        <v/>
      </c>
      <c r="G546" s="19"/>
    </row>
    <row r="547" spans="1:22" s="37" customFormat="1" ht="15" customHeight="1" x14ac:dyDescent="0.15">
      <c r="A547" s="41"/>
      <c r="B547" s="80" t="s">
        <v>587</v>
      </c>
      <c r="C547" s="18" t="s">
        <v>1347</v>
      </c>
      <c r="D547" s="254"/>
      <c r="E547" s="18" t="s">
        <v>1343</v>
      </c>
      <c r="F547" s="46" t="str">
        <f>IF(wskakunin_iken2_JIMU_NAME="","",wskakunin_iken2_JIMU_NAME)</f>
        <v/>
      </c>
      <c r="G547" s="19"/>
    </row>
    <row r="548" spans="1:22" s="37" customFormat="1" ht="15" customHeight="1" x14ac:dyDescent="0.15">
      <c r="A548" s="41"/>
      <c r="B548" s="80" t="s">
        <v>553</v>
      </c>
      <c r="C548" s="18" t="s">
        <v>1348</v>
      </c>
      <c r="D548" s="254"/>
      <c r="E548" s="18" t="s">
        <v>1344</v>
      </c>
      <c r="F548" s="46" t="str">
        <f>IF(wskakunin_iken2_ZIP="","",wskakunin_iken2_ZIP)</f>
        <v/>
      </c>
      <c r="G548" s="19"/>
      <c r="I548" s="38"/>
      <c r="J548" s="38"/>
      <c r="K548" s="38"/>
      <c r="L548" s="38"/>
      <c r="M548" s="38"/>
      <c r="N548" s="38"/>
      <c r="O548" s="38"/>
      <c r="P548" s="38"/>
      <c r="Q548" s="38"/>
      <c r="R548" s="38"/>
      <c r="S548" s="38"/>
      <c r="T548" s="38"/>
      <c r="U548" s="38"/>
      <c r="V548" s="38"/>
    </row>
    <row r="549" spans="1:22" s="37" customFormat="1" ht="15" customHeight="1" x14ac:dyDescent="0.15">
      <c r="A549" s="41"/>
      <c r="B549" s="80" t="s">
        <v>588</v>
      </c>
      <c r="C549" s="18" t="s">
        <v>1349</v>
      </c>
      <c r="D549" s="254"/>
      <c r="E549" s="18" t="s">
        <v>1340</v>
      </c>
      <c r="F549" s="46" t="str">
        <f>IF(wskakunin_iken2__address="","",wskakunin_iken2__address)</f>
        <v/>
      </c>
      <c r="G549" s="19"/>
      <c r="I549" s="38"/>
      <c r="J549" s="38"/>
      <c r="K549" s="38"/>
      <c r="L549" s="38"/>
      <c r="M549" s="38"/>
      <c r="N549" s="38"/>
      <c r="O549" s="38"/>
      <c r="P549" s="38"/>
      <c r="Q549" s="38"/>
      <c r="R549" s="38"/>
      <c r="S549" s="38"/>
      <c r="T549" s="38"/>
      <c r="U549" s="38"/>
      <c r="V549" s="38"/>
    </row>
    <row r="550" spans="1:22" s="37" customFormat="1" ht="15" customHeight="1" x14ac:dyDescent="0.15">
      <c r="A550" s="41"/>
      <c r="B550" s="80" t="s">
        <v>555</v>
      </c>
      <c r="C550" s="18" t="s">
        <v>1350</v>
      </c>
      <c r="D550" s="254"/>
      <c r="E550" s="18" t="s">
        <v>1341</v>
      </c>
      <c r="F550" s="46" t="str">
        <f>IF(wskakunin_iken2_TEL="","",wskakunin_iken2_TEL)</f>
        <v/>
      </c>
      <c r="G550" s="19"/>
      <c r="I550" s="38"/>
      <c r="J550" s="38"/>
      <c r="K550" s="38"/>
      <c r="L550" s="38"/>
      <c r="M550" s="38"/>
      <c r="N550" s="38"/>
      <c r="O550" s="38"/>
      <c r="P550" s="38"/>
      <c r="Q550" s="38"/>
      <c r="R550" s="38"/>
      <c r="S550" s="38"/>
      <c r="T550" s="38"/>
      <c r="U550" s="38"/>
      <c r="V550" s="38"/>
    </row>
    <row r="551" spans="1:22" s="37" customFormat="1" ht="15" customHeight="1" x14ac:dyDescent="0.15">
      <c r="A551" s="41"/>
      <c r="B551" s="80" t="s">
        <v>556</v>
      </c>
      <c r="C551" s="18" t="s">
        <v>1351</v>
      </c>
      <c r="D551" s="254"/>
      <c r="E551" s="18" t="s">
        <v>1345</v>
      </c>
      <c r="F551" s="46" t="str">
        <f>IF(wskakunin_iken2_IKEN_NO="","",wskakunin_iken2_IKEN_NO)</f>
        <v/>
      </c>
      <c r="G551" s="19"/>
    </row>
    <row r="552" spans="1:22" s="19" customFormat="1" ht="15" customHeight="1" x14ac:dyDescent="0.15">
      <c r="A552" s="39"/>
      <c r="B552" s="81" t="s">
        <v>557</v>
      </c>
      <c r="C552" s="36" t="s">
        <v>1352</v>
      </c>
      <c r="D552" s="241"/>
      <c r="E552" s="36" t="s">
        <v>1342</v>
      </c>
      <c r="F552" s="155" t="str">
        <f>IF(wskakunin_iken2_DOC="","",wskakunin_iken2_DOC)</f>
        <v/>
      </c>
    </row>
    <row r="553" spans="1:22" s="19" customFormat="1" ht="15" customHeight="1" x14ac:dyDescent="0.15">
      <c r="A553" s="39"/>
      <c r="B553" s="82"/>
      <c r="C553" s="36"/>
      <c r="D553" s="36"/>
    </row>
    <row r="554" spans="1:22" s="19" customFormat="1" ht="15" customHeight="1" x14ac:dyDescent="0.15">
      <c r="A554" s="42" t="s">
        <v>590</v>
      </c>
      <c r="B554" s="43"/>
      <c r="C554" s="36"/>
      <c r="D554" s="36"/>
    </row>
    <row r="555" spans="1:22" s="37" customFormat="1" ht="15" customHeight="1" x14ac:dyDescent="0.15">
      <c r="A555" s="41"/>
      <c r="B555" s="80" t="s">
        <v>586</v>
      </c>
      <c r="C555" s="18" t="s">
        <v>1369</v>
      </c>
      <c r="D555" s="242"/>
      <c r="E555" s="18" t="s">
        <v>1355</v>
      </c>
      <c r="F555" s="46" t="str">
        <f>IF(wskakunin_iken3_NAME="","",wskakunin_iken3_NAME)</f>
        <v/>
      </c>
      <c r="G555" s="19"/>
    </row>
    <row r="556" spans="1:22" s="37" customFormat="1" ht="15" customHeight="1" x14ac:dyDescent="0.15">
      <c r="A556" s="41"/>
      <c r="B556" s="80" t="s">
        <v>587</v>
      </c>
      <c r="C556" s="18" t="s">
        <v>1370</v>
      </c>
      <c r="D556" s="242"/>
      <c r="E556" s="18" t="s">
        <v>1356</v>
      </c>
      <c r="F556" s="46" t="str">
        <f>IF(wskakunin_iken3_JIMU_NAME="","",wskakunin_iken3_JIMU_NAME)</f>
        <v/>
      </c>
      <c r="G556" s="19"/>
    </row>
    <row r="557" spans="1:22" s="37" customFormat="1" ht="15" customHeight="1" x14ac:dyDescent="0.15">
      <c r="A557" s="41"/>
      <c r="B557" s="80" t="s">
        <v>553</v>
      </c>
      <c r="C557" s="18" t="s">
        <v>1371</v>
      </c>
      <c r="D557" s="242"/>
      <c r="E557" s="18" t="s">
        <v>1357</v>
      </c>
      <c r="F557" s="46" t="str">
        <f>IF(wskakunin_iken3_ZIP="","",wskakunin_iken3_ZIP)</f>
        <v/>
      </c>
      <c r="G557" s="19"/>
      <c r="I557" s="38"/>
      <c r="J557" s="38"/>
      <c r="K557" s="38"/>
      <c r="L557" s="38"/>
      <c r="M557" s="38"/>
      <c r="N557" s="38"/>
      <c r="O557" s="38"/>
      <c r="P557" s="38"/>
      <c r="Q557" s="38"/>
      <c r="R557" s="38"/>
      <c r="S557" s="38"/>
      <c r="T557" s="38"/>
      <c r="U557" s="38"/>
      <c r="V557" s="38"/>
    </row>
    <row r="558" spans="1:22" s="37" customFormat="1" ht="15" customHeight="1" x14ac:dyDescent="0.15">
      <c r="A558" s="41"/>
      <c r="B558" s="80" t="s">
        <v>588</v>
      </c>
      <c r="C558" s="18" t="s">
        <v>1372</v>
      </c>
      <c r="D558" s="242"/>
      <c r="E558" s="18" t="s">
        <v>1358</v>
      </c>
      <c r="F558" s="46" t="str">
        <f>IF(wskakunin_iken3__address="","",wskakunin_iken3__address)</f>
        <v/>
      </c>
      <c r="G558" s="19"/>
      <c r="I558" s="38"/>
      <c r="J558" s="38"/>
      <c r="K558" s="38"/>
      <c r="L558" s="38"/>
      <c r="M558" s="38"/>
      <c r="N558" s="38"/>
      <c r="O558" s="38"/>
      <c r="P558" s="38"/>
      <c r="Q558" s="38"/>
      <c r="R558" s="38"/>
      <c r="S558" s="38"/>
      <c r="T558" s="38"/>
      <c r="U558" s="38"/>
      <c r="V558" s="38"/>
    </row>
    <row r="559" spans="1:22" s="37" customFormat="1" ht="15" customHeight="1" x14ac:dyDescent="0.15">
      <c r="A559" s="41"/>
      <c r="B559" s="80" t="s">
        <v>555</v>
      </c>
      <c r="C559" s="18" t="s">
        <v>1373</v>
      </c>
      <c r="D559" s="242"/>
      <c r="E559" s="18" t="s">
        <v>1359</v>
      </c>
      <c r="F559" s="46" t="str">
        <f>IF(wskakunin_iken3_TEL="","",wskakunin_iken3_TEL)</f>
        <v/>
      </c>
      <c r="G559" s="19"/>
      <c r="I559" s="38"/>
      <c r="J559" s="38"/>
      <c r="K559" s="38"/>
      <c r="L559" s="38"/>
      <c r="M559" s="38"/>
      <c r="N559" s="38"/>
      <c r="O559" s="38"/>
      <c r="P559" s="38"/>
      <c r="Q559" s="38"/>
      <c r="R559" s="38"/>
      <c r="S559" s="38"/>
      <c r="T559" s="38"/>
      <c r="U559" s="38"/>
      <c r="V559" s="38"/>
    </row>
    <row r="560" spans="1:22" s="37" customFormat="1" ht="15" customHeight="1" x14ac:dyDescent="0.15">
      <c r="A560" s="41"/>
      <c r="B560" s="80" t="s">
        <v>556</v>
      </c>
      <c r="C560" s="18" t="s">
        <v>1374</v>
      </c>
      <c r="D560" s="242"/>
      <c r="E560" s="18" t="s">
        <v>1360</v>
      </c>
      <c r="F560" s="46" t="str">
        <f>IF(wskakunin_iken3_IKEN_NO="","",wskakunin_iken3_IKEN_NO)</f>
        <v/>
      </c>
      <c r="G560" s="19"/>
    </row>
    <row r="561" spans="1:22" s="19" customFormat="1" ht="15" customHeight="1" x14ac:dyDescent="0.15">
      <c r="A561" s="39"/>
      <c r="B561" s="81" t="s">
        <v>557</v>
      </c>
      <c r="C561" s="36" t="s">
        <v>1375</v>
      </c>
      <c r="D561" s="241"/>
      <c r="E561" s="36" t="s">
        <v>1361</v>
      </c>
      <c r="F561" s="155" t="str">
        <f>IF(wskakunin_iken3_DOC="","",wskakunin_iken3_DOC)</f>
        <v/>
      </c>
    </row>
    <row r="562" spans="1:22" s="19" customFormat="1" ht="15" customHeight="1" x14ac:dyDescent="0.15">
      <c r="A562" s="39"/>
      <c r="B562" s="82"/>
      <c r="C562" s="36"/>
      <c r="D562" s="36"/>
    </row>
    <row r="563" spans="1:22" s="19" customFormat="1" ht="15" customHeight="1" x14ac:dyDescent="0.15">
      <c r="A563" s="42" t="s">
        <v>591</v>
      </c>
      <c r="B563" s="43"/>
      <c r="C563" s="36"/>
      <c r="D563" s="36"/>
    </row>
    <row r="564" spans="1:22" s="37" customFormat="1" ht="15" customHeight="1" x14ac:dyDescent="0.15">
      <c r="A564" s="41"/>
      <c r="B564" s="80" t="s">
        <v>586</v>
      </c>
      <c r="C564" s="18" t="s">
        <v>1376</v>
      </c>
      <c r="D564" s="242"/>
      <c r="E564" s="18" t="s">
        <v>1362</v>
      </c>
      <c r="F564" s="46" t="str">
        <f>IF(wskakunin_iken4_NAME="","",wskakunin_iken4_NAME)</f>
        <v/>
      </c>
      <c r="G564" s="19"/>
    </row>
    <row r="565" spans="1:22" s="37" customFormat="1" ht="15" customHeight="1" x14ac:dyDescent="0.15">
      <c r="A565" s="41"/>
      <c r="B565" s="80" t="s">
        <v>587</v>
      </c>
      <c r="C565" s="18" t="s">
        <v>1377</v>
      </c>
      <c r="D565" s="242"/>
      <c r="E565" s="18" t="s">
        <v>1363</v>
      </c>
      <c r="F565" s="46" t="str">
        <f>IF(wskakunin_iken4_JIMU_NAME="","",wskakunin_iken4_JIMU_NAME)</f>
        <v/>
      </c>
      <c r="G565" s="19"/>
    </row>
    <row r="566" spans="1:22" s="37" customFormat="1" ht="15" customHeight="1" x14ac:dyDescent="0.15">
      <c r="A566" s="41"/>
      <c r="B566" s="80" t="s">
        <v>553</v>
      </c>
      <c r="C566" s="18" t="s">
        <v>1378</v>
      </c>
      <c r="D566" s="242"/>
      <c r="E566" s="18" t="s">
        <v>1364</v>
      </c>
      <c r="F566" s="46" t="str">
        <f>IF(wskakunin_iken4_ZIP="","",wskakunin_iken4_ZIP)</f>
        <v/>
      </c>
      <c r="G566" s="19"/>
      <c r="I566" s="38"/>
      <c r="J566" s="38"/>
      <c r="K566" s="38"/>
      <c r="L566" s="38"/>
      <c r="M566" s="38"/>
      <c r="N566" s="38"/>
      <c r="O566" s="38"/>
      <c r="P566" s="38"/>
      <c r="Q566" s="38"/>
      <c r="R566" s="38"/>
      <c r="S566" s="38"/>
      <c r="T566" s="38"/>
      <c r="U566" s="38"/>
      <c r="V566" s="38"/>
    </row>
    <row r="567" spans="1:22" s="37" customFormat="1" ht="15" customHeight="1" x14ac:dyDescent="0.15">
      <c r="A567" s="41"/>
      <c r="B567" s="80" t="s">
        <v>588</v>
      </c>
      <c r="C567" s="18" t="s">
        <v>1379</v>
      </c>
      <c r="D567" s="242"/>
      <c r="E567" s="18" t="s">
        <v>1365</v>
      </c>
      <c r="F567" s="46" t="str">
        <f>IF(wskakunin_iken4__address="","",wskakunin_iken4__address)</f>
        <v/>
      </c>
      <c r="G567" s="19"/>
      <c r="I567" s="38"/>
      <c r="J567" s="38"/>
      <c r="K567" s="38"/>
      <c r="L567" s="38"/>
      <c r="M567" s="38"/>
      <c r="N567" s="38"/>
      <c r="O567" s="38"/>
      <c r="P567" s="38"/>
      <c r="Q567" s="38"/>
      <c r="R567" s="38"/>
      <c r="S567" s="38"/>
      <c r="T567" s="38"/>
      <c r="U567" s="38"/>
      <c r="V567" s="38"/>
    </row>
    <row r="568" spans="1:22" s="37" customFormat="1" ht="15" customHeight="1" x14ac:dyDescent="0.15">
      <c r="A568" s="41"/>
      <c r="B568" s="80" t="s">
        <v>555</v>
      </c>
      <c r="C568" s="18" t="s">
        <v>1380</v>
      </c>
      <c r="D568" s="242"/>
      <c r="E568" s="18" t="s">
        <v>1366</v>
      </c>
      <c r="F568" s="46" t="str">
        <f>IF(wskakunin_iken4_TEL="","",wskakunin_iken4_TEL)</f>
        <v/>
      </c>
      <c r="G568" s="19"/>
      <c r="I568" s="38"/>
      <c r="J568" s="38"/>
      <c r="K568" s="38"/>
      <c r="L568" s="38"/>
      <c r="M568" s="38"/>
      <c r="N568" s="38"/>
      <c r="O568" s="38"/>
      <c r="P568" s="38"/>
      <c r="Q568" s="38"/>
      <c r="R568" s="38"/>
      <c r="S568" s="38"/>
      <c r="T568" s="38"/>
      <c r="U568" s="38"/>
      <c r="V568" s="38"/>
    </row>
    <row r="569" spans="1:22" s="37" customFormat="1" ht="15" customHeight="1" x14ac:dyDescent="0.15">
      <c r="A569" s="41"/>
      <c r="B569" s="80" t="s">
        <v>556</v>
      </c>
      <c r="C569" s="18" t="s">
        <v>1381</v>
      </c>
      <c r="D569" s="242"/>
      <c r="E569" s="18" t="s">
        <v>1367</v>
      </c>
      <c r="F569" s="46" t="str">
        <f>IF(wskakunin_iken4_IKEN_NO="","",wskakunin_iken4_IKEN_NO)</f>
        <v/>
      </c>
      <c r="G569" s="19"/>
    </row>
    <row r="570" spans="1:22" s="19" customFormat="1" ht="15" customHeight="1" x14ac:dyDescent="0.15">
      <c r="A570" s="39"/>
      <c r="B570" s="81" t="s">
        <v>557</v>
      </c>
      <c r="C570" s="36" t="s">
        <v>1382</v>
      </c>
      <c r="D570" s="241"/>
      <c r="E570" s="36" t="s">
        <v>1368</v>
      </c>
      <c r="F570" s="155" t="str">
        <f>IF(wskakunin_iken4_DOC="","",wskakunin_iken4_DOC)</f>
        <v/>
      </c>
    </row>
    <row r="571" spans="1:22" s="19" customFormat="1" ht="15" customHeight="1" x14ac:dyDescent="0.15">
      <c r="A571" s="42" t="s">
        <v>2577</v>
      </c>
      <c r="B571" s="215"/>
      <c r="C571" s="35"/>
      <c r="D571" s="35"/>
      <c r="E571" s="35"/>
      <c r="F571" s="35"/>
    </row>
    <row r="572" spans="1:22" s="19" customFormat="1" ht="15" customHeight="1" x14ac:dyDescent="0.15">
      <c r="A572" s="41"/>
      <c r="B572" s="80" t="s">
        <v>586</v>
      </c>
      <c r="C572" s="18" t="s">
        <v>2578</v>
      </c>
      <c r="D572" s="242"/>
      <c r="E572" s="35" t="s">
        <v>2579</v>
      </c>
      <c r="F572" s="155" t="str">
        <f>IF(wskakunin_iken5_NAME="","",wskakunin_iken5_NAME)</f>
        <v/>
      </c>
    </row>
    <row r="573" spans="1:22" s="19" customFormat="1" ht="15" customHeight="1" x14ac:dyDescent="0.15">
      <c r="A573" s="41"/>
      <c r="B573" s="80" t="s">
        <v>587</v>
      </c>
      <c r="C573" s="18" t="s">
        <v>2580</v>
      </c>
      <c r="D573" s="242"/>
      <c r="E573" s="35" t="s">
        <v>2581</v>
      </c>
      <c r="F573" s="155" t="str">
        <f>IF(wskakunin_iken5_JIMU_NAME="","",wskakunin_iken5_JIMU_NAME)</f>
        <v/>
      </c>
    </row>
    <row r="574" spans="1:22" s="19" customFormat="1" ht="15" customHeight="1" x14ac:dyDescent="0.15">
      <c r="A574" s="41"/>
      <c r="B574" s="80" t="s">
        <v>553</v>
      </c>
      <c r="C574" s="18" t="s">
        <v>2582</v>
      </c>
      <c r="D574" s="242"/>
      <c r="E574" s="35" t="s">
        <v>2583</v>
      </c>
      <c r="F574" s="155" t="str">
        <f>IF(wskakunin_iken5_ZIP="","",wskakunin_iken5_ZIP)</f>
        <v/>
      </c>
    </row>
    <row r="575" spans="1:22" s="19" customFormat="1" ht="15" customHeight="1" x14ac:dyDescent="0.15">
      <c r="A575" s="41"/>
      <c r="B575" s="80" t="s">
        <v>588</v>
      </c>
      <c r="C575" s="18" t="s">
        <v>2584</v>
      </c>
      <c r="D575" s="242"/>
      <c r="E575" s="35" t="s">
        <v>2585</v>
      </c>
      <c r="F575" s="155" t="str">
        <f>IF(wskakunin_iken5__address="","",wskakunin_iken5__address)</f>
        <v/>
      </c>
    </row>
    <row r="576" spans="1:22" s="19" customFormat="1" ht="15" customHeight="1" x14ac:dyDescent="0.15">
      <c r="A576" s="41"/>
      <c r="B576" s="80" t="s">
        <v>555</v>
      </c>
      <c r="C576" s="18" t="s">
        <v>2586</v>
      </c>
      <c r="D576" s="242"/>
      <c r="E576" s="35" t="s">
        <v>2587</v>
      </c>
      <c r="F576" s="155" t="str">
        <f>IF(wskakunin_iken5_TEL="","",wskakunin_iken5_TEL)</f>
        <v/>
      </c>
    </row>
    <row r="577" spans="1:8" s="19" customFormat="1" ht="15" customHeight="1" x14ac:dyDescent="0.15">
      <c r="A577" s="41"/>
      <c r="B577" s="80" t="s">
        <v>556</v>
      </c>
      <c r="C577" s="18" t="s">
        <v>2588</v>
      </c>
      <c r="D577" s="242"/>
      <c r="E577" s="35" t="s">
        <v>2589</v>
      </c>
      <c r="F577" s="155" t="str">
        <f>IF(wskakunin_iken5_IKEN_NO="","",wskakunin_iken5_IKEN_NO)</f>
        <v/>
      </c>
    </row>
    <row r="578" spans="1:8" s="19" customFormat="1" ht="15" customHeight="1" x14ac:dyDescent="0.15">
      <c r="A578" s="39"/>
      <c r="B578" s="81" t="s">
        <v>557</v>
      </c>
      <c r="C578" s="36" t="s">
        <v>2590</v>
      </c>
      <c r="D578" s="242"/>
      <c r="E578" s="35" t="s">
        <v>2591</v>
      </c>
      <c r="F578" s="155" t="str">
        <f>IF(wskakunin_iken5_DOC="","",wskakunin_iken5_DOC)</f>
        <v/>
      </c>
    </row>
    <row r="579" spans="1:8" s="35" customFormat="1" ht="15" customHeight="1" x14ac:dyDescent="0.15">
      <c r="A579" s="216"/>
      <c r="B579" s="82"/>
      <c r="G579" s="19"/>
    </row>
    <row r="580" spans="1:8" ht="15" customHeight="1" x14ac:dyDescent="0.15">
      <c r="A580" s="1" t="s">
        <v>599</v>
      </c>
      <c r="B580" s="46" t="s">
        <v>761</v>
      </c>
      <c r="G580" s="19"/>
      <c r="H580" s="19"/>
    </row>
    <row r="581" spans="1:8" ht="15" customHeight="1" x14ac:dyDescent="0.15">
      <c r="A581" s="29"/>
      <c r="B581" s="73" t="s">
        <v>540</v>
      </c>
      <c r="C581" s="18" t="s">
        <v>762</v>
      </c>
      <c r="D581" s="155"/>
      <c r="E581" s="18" t="s">
        <v>763</v>
      </c>
      <c r="F581" s="155" t="str">
        <f>IF(wskakunin_kanri1__sikaku="", "", wskakunin_kanri1__sikaku)</f>
        <v/>
      </c>
      <c r="G581" s="19"/>
      <c r="H581" s="19"/>
    </row>
    <row r="582" spans="1:8" ht="15" customHeight="1" x14ac:dyDescent="0.15">
      <c r="A582" s="29"/>
      <c r="B582" s="73" t="s">
        <v>541</v>
      </c>
      <c r="C582" s="18" t="s">
        <v>764</v>
      </c>
      <c r="D582" s="155"/>
      <c r="E582" s="18" t="s">
        <v>1389</v>
      </c>
      <c r="F582" s="155" t="str">
        <f>IF(wskakunin_kanri1_SIKAKU__label="", "", wskakunin_kanri1_SIKAKU__label)</f>
        <v/>
      </c>
      <c r="G582" s="19"/>
      <c r="H582" s="19"/>
    </row>
    <row r="583" spans="1:8" ht="15" customHeight="1" x14ac:dyDescent="0.15">
      <c r="A583" s="34"/>
      <c r="B583" s="79" t="s">
        <v>536</v>
      </c>
      <c r="C583" s="18" t="s">
        <v>1317</v>
      </c>
      <c r="D583" s="155"/>
      <c r="E583" s="18" t="s">
        <v>765</v>
      </c>
      <c r="F583" s="155" t="str">
        <f>IF(wskakunin_kanri1_TOUROKU_KIKAN__label="","",wskakunin_kanri1_TOUROKU_KIKAN__label)</f>
        <v/>
      </c>
      <c r="G583" s="19"/>
      <c r="H583" s="19"/>
    </row>
    <row r="584" spans="1:8" ht="15" customHeight="1" x14ac:dyDescent="0.15">
      <c r="A584" s="34"/>
      <c r="B584" s="79" t="s">
        <v>537</v>
      </c>
      <c r="C584" s="18" t="s">
        <v>766</v>
      </c>
      <c r="D584" s="241"/>
      <c r="E584" s="18" t="s">
        <v>767</v>
      </c>
      <c r="F584" s="155" t="str">
        <f>IF(wskakunin_kanri1_KENTIKUSI_NO="","",wskakunin_kanri1_KENTIKUSI_NO)</f>
        <v/>
      </c>
      <c r="G584" s="19"/>
      <c r="H584" s="19"/>
    </row>
    <row r="585" spans="1:8" ht="15" customHeight="1" x14ac:dyDescent="0.15">
      <c r="A585" s="62"/>
      <c r="B585" s="73" t="s">
        <v>3</v>
      </c>
      <c r="C585" s="18" t="s">
        <v>768</v>
      </c>
      <c r="D585" s="155"/>
      <c r="E585" s="18" t="s">
        <v>769</v>
      </c>
      <c r="F585" s="155" t="str">
        <f>IF(wskakunin_kanri1_NAME="", "", wskakunin_kanri1_NAME)</f>
        <v/>
      </c>
      <c r="G585" s="19"/>
      <c r="H585" s="19"/>
    </row>
    <row r="586" spans="1:8" ht="15" customHeight="1" x14ac:dyDescent="0.15">
      <c r="A586" s="62"/>
      <c r="B586" s="73" t="s">
        <v>542</v>
      </c>
      <c r="C586" s="18" t="s">
        <v>770</v>
      </c>
      <c r="D586" s="155"/>
      <c r="E586" s="18" t="s">
        <v>771</v>
      </c>
      <c r="F586" s="155" t="str">
        <f>IF(wskakunin_kanri1_JIMU__sikaku="", "", wskakunin_kanri1_JIMU__sikaku)</f>
        <v/>
      </c>
      <c r="G586" s="19"/>
      <c r="H586" s="19"/>
    </row>
    <row r="587" spans="1:8" ht="15" customHeight="1" x14ac:dyDescent="0.15">
      <c r="A587" s="46"/>
      <c r="B587" s="79" t="s">
        <v>34</v>
      </c>
      <c r="C587" s="18" t="s">
        <v>772</v>
      </c>
      <c r="D587" s="155"/>
      <c r="E587" s="18" t="s">
        <v>1390</v>
      </c>
      <c r="F587" s="155" t="str">
        <f>IF(wskakunin_kanri1_JIMU_SIKAKU__label="","",wskakunin_kanri1_JIMU_SIKAKU__label)</f>
        <v/>
      </c>
      <c r="G587" s="19"/>
      <c r="H587" s="19"/>
    </row>
    <row r="588" spans="1:8" ht="15" customHeight="1" x14ac:dyDescent="0.15">
      <c r="A588" s="46"/>
      <c r="B588" s="79" t="s">
        <v>543</v>
      </c>
      <c r="C588" s="18" t="s">
        <v>1318</v>
      </c>
      <c r="D588" s="155"/>
      <c r="E588" s="18" t="s">
        <v>773</v>
      </c>
      <c r="F588" s="155" t="str">
        <f>IF(wskakunin_kanri1_JIMU_TOUROKU_KIKAN__label="","",wskakunin_kanri1_JIMU_TOUROKU_KIKAN__label)</f>
        <v/>
      </c>
      <c r="G588" s="19"/>
      <c r="H588" s="19"/>
    </row>
    <row r="589" spans="1:8" ht="15" customHeight="1" x14ac:dyDescent="0.15">
      <c r="A589" s="46"/>
      <c r="B589" s="79" t="s">
        <v>544</v>
      </c>
      <c r="C589" s="18" t="s">
        <v>774</v>
      </c>
      <c r="D589" s="155"/>
      <c r="E589" s="18" t="s">
        <v>775</v>
      </c>
      <c r="F589" s="155" t="str">
        <f>IF(wskakunin_kanri1_JIMU_NO="","",wskakunin_kanri1_JIMU_NO)</f>
        <v/>
      </c>
      <c r="G589" s="19"/>
      <c r="H589" s="19"/>
    </row>
    <row r="590" spans="1:8" ht="15" customHeight="1" x14ac:dyDescent="0.15">
      <c r="A590" s="62"/>
      <c r="B590" s="73" t="s">
        <v>35</v>
      </c>
      <c r="C590" s="18" t="s">
        <v>776</v>
      </c>
      <c r="D590" s="155"/>
      <c r="E590" s="18" t="s">
        <v>777</v>
      </c>
      <c r="F590" s="155" t="str">
        <f>IF(wskakunin_kanri1_JIMU_NAME="", "", wskakunin_kanri1_JIMU_NAME)</f>
        <v/>
      </c>
      <c r="G590" s="19"/>
      <c r="H590" s="19"/>
    </row>
    <row r="591" spans="1:8" ht="15" customHeight="1" x14ac:dyDescent="0.15">
      <c r="A591" s="62"/>
      <c r="B591" s="73" t="s">
        <v>8</v>
      </c>
      <c r="C591" s="18" t="s">
        <v>778</v>
      </c>
      <c r="D591" s="241"/>
      <c r="E591" s="18" t="s">
        <v>779</v>
      </c>
      <c r="F591" s="155" t="str">
        <f>IF(wskakunin_kanri1_ZIP="", "", wskakunin_kanri1_ZIP)</f>
        <v/>
      </c>
      <c r="G591" s="19"/>
      <c r="H591" s="19"/>
    </row>
    <row r="592" spans="1:8" ht="15" customHeight="1" x14ac:dyDescent="0.15">
      <c r="A592" s="62"/>
      <c r="B592" s="73"/>
      <c r="E592" s="18" t="s">
        <v>2644</v>
      </c>
      <c r="F592" s="155" t="str">
        <f>IF(wskakunin_kanri1_ZIP="","",LEFT(wskakunin_kanri1_ZIP,3)&amp;RIGHT(wskakunin_kanri1_ZIP,4))</f>
        <v/>
      </c>
      <c r="G592" s="19"/>
      <c r="H592" s="19"/>
    </row>
    <row r="593" spans="1:8" ht="15" customHeight="1" x14ac:dyDescent="0.15">
      <c r="A593" s="62"/>
      <c r="B593" s="73" t="s">
        <v>11</v>
      </c>
      <c r="C593" s="18" t="s">
        <v>780</v>
      </c>
      <c r="D593" s="155"/>
      <c r="E593" s="18" t="s">
        <v>781</v>
      </c>
      <c r="F593" s="155" t="str">
        <f>IF(wskakunin_kanri1__address="", "", wskakunin_kanri1__address)</f>
        <v/>
      </c>
      <c r="G593" s="19"/>
      <c r="H593" s="19"/>
    </row>
    <row r="594" spans="1:8" ht="15" customHeight="1" x14ac:dyDescent="0.15">
      <c r="A594" s="62"/>
      <c r="B594" s="73" t="s">
        <v>10</v>
      </c>
      <c r="C594" s="18" t="s">
        <v>782</v>
      </c>
      <c r="D594" s="241"/>
      <c r="E594" s="18" t="s">
        <v>783</v>
      </c>
      <c r="F594" s="155" t="str">
        <f>IF(wskakunin_kanri1_TEL="", "", wskakunin_kanri1_TEL)</f>
        <v/>
      </c>
      <c r="G594" s="19"/>
      <c r="H594" s="19"/>
    </row>
    <row r="595" spans="1:8" ht="15" customHeight="1" x14ac:dyDescent="0.15">
      <c r="A595" s="62"/>
      <c r="B595" s="73" t="s">
        <v>579</v>
      </c>
      <c r="C595" s="18" t="s">
        <v>784</v>
      </c>
      <c r="D595" s="241"/>
      <c r="E595" s="18" t="s">
        <v>785</v>
      </c>
      <c r="F595" s="155" t="str">
        <f>IF(wskakunin_kanri1_DOC="","",wskakunin_kanri1_DOC)</f>
        <v/>
      </c>
      <c r="G595" s="19"/>
      <c r="H595" s="19"/>
    </row>
    <row r="596" spans="1:8" ht="15" customHeight="1" x14ac:dyDescent="0.15">
      <c r="A596" s="46"/>
      <c r="B596" s="76"/>
      <c r="G596" s="19"/>
      <c r="H596" s="19"/>
    </row>
    <row r="597" spans="1:8" ht="15" customHeight="1" x14ac:dyDescent="0.15">
      <c r="A597" s="47" t="s">
        <v>600</v>
      </c>
      <c r="B597" s="46" t="s">
        <v>558</v>
      </c>
      <c r="G597" s="19"/>
      <c r="H597" s="19"/>
    </row>
    <row r="598" spans="1:8" ht="15" customHeight="1" x14ac:dyDescent="0.15">
      <c r="A598" s="29"/>
      <c r="B598" s="73" t="s">
        <v>540</v>
      </c>
      <c r="C598" s="18" t="s">
        <v>786</v>
      </c>
      <c r="D598" s="155"/>
      <c r="E598" s="18" t="s">
        <v>787</v>
      </c>
      <c r="F598" s="155" t="str">
        <f>IF(wskakunin_kanri2__sikaku="", "", wskakunin_kanri2__sikaku)</f>
        <v/>
      </c>
      <c r="G598" s="19"/>
      <c r="H598" s="19"/>
    </row>
    <row r="599" spans="1:8" ht="15" customHeight="1" x14ac:dyDescent="0.15">
      <c r="A599" s="29"/>
      <c r="B599" s="73" t="s">
        <v>541</v>
      </c>
      <c r="C599" s="18" t="s">
        <v>788</v>
      </c>
      <c r="D599" s="155"/>
      <c r="E599" s="18" t="s">
        <v>1391</v>
      </c>
      <c r="F599" s="155" t="str">
        <f>IF(wskakunin_kanri2_SIKAKU__label="", "", wskakunin_kanri2_SIKAKU__label)</f>
        <v/>
      </c>
      <c r="G599" s="19"/>
      <c r="H599" s="19"/>
    </row>
    <row r="600" spans="1:8" ht="15" customHeight="1" x14ac:dyDescent="0.15">
      <c r="A600" s="34"/>
      <c r="B600" s="79" t="s">
        <v>536</v>
      </c>
      <c r="C600" s="18" t="s">
        <v>1319</v>
      </c>
      <c r="D600" s="155"/>
      <c r="E600" s="18" t="s">
        <v>789</v>
      </c>
      <c r="F600" s="155" t="str">
        <f>IF(wskakunin_kanri2_TOUROKU_KIKAN__label="","",wskakunin_kanri2_TOUROKU_KIKAN__label)</f>
        <v/>
      </c>
      <c r="G600" s="19"/>
      <c r="H600" s="19"/>
    </row>
    <row r="601" spans="1:8" ht="15" customHeight="1" x14ac:dyDescent="0.15">
      <c r="A601" s="34"/>
      <c r="B601" s="79" t="s">
        <v>537</v>
      </c>
      <c r="C601" s="18" t="s">
        <v>790</v>
      </c>
      <c r="D601" s="241"/>
      <c r="E601" s="18" t="s">
        <v>791</v>
      </c>
      <c r="F601" s="155" t="str">
        <f>IF(wskakunin_kanri2_KENTIKUSI_NO="","",wskakunin_kanri2_KENTIKUSI_NO)</f>
        <v/>
      </c>
      <c r="G601" s="19"/>
      <c r="H601" s="19"/>
    </row>
    <row r="602" spans="1:8" ht="15" customHeight="1" x14ac:dyDescent="0.15">
      <c r="A602" s="62"/>
      <c r="B602" s="73" t="s">
        <v>3</v>
      </c>
      <c r="C602" s="18" t="s">
        <v>792</v>
      </c>
      <c r="D602" s="155"/>
      <c r="E602" s="18" t="s">
        <v>793</v>
      </c>
      <c r="F602" s="155" t="str">
        <f>IF(wskakunin_kanri2_NAME="", "", wskakunin_kanri2_NAME)</f>
        <v/>
      </c>
      <c r="G602" s="19"/>
      <c r="H602" s="19"/>
    </row>
    <row r="603" spans="1:8" ht="15" customHeight="1" x14ac:dyDescent="0.15">
      <c r="A603" s="62"/>
      <c r="B603" s="73" t="s">
        <v>542</v>
      </c>
      <c r="C603" s="18" t="s">
        <v>794</v>
      </c>
      <c r="D603" s="155"/>
      <c r="E603" s="18" t="s">
        <v>795</v>
      </c>
      <c r="F603" s="155" t="str">
        <f>IF(wskakunin_kanri2_JIMU__sikaku="", "", wskakunin_kanri2_JIMU__sikaku)</f>
        <v/>
      </c>
      <c r="G603" s="19"/>
      <c r="H603" s="19"/>
    </row>
    <row r="604" spans="1:8" ht="15" customHeight="1" x14ac:dyDescent="0.15">
      <c r="A604" s="46"/>
      <c r="B604" s="79" t="s">
        <v>34</v>
      </c>
      <c r="C604" s="18" t="s">
        <v>796</v>
      </c>
      <c r="D604" s="155"/>
      <c r="E604" s="18" t="s">
        <v>1392</v>
      </c>
      <c r="F604" s="155" t="str">
        <f>IF(wskakunin_kanri2_JIMU_SIKAKU__label="","",wskakunin_kanri2_JIMU_SIKAKU__label)</f>
        <v/>
      </c>
      <c r="G604" s="19"/>
      <c r="H604" s="19"/>
    </row>
    <row r="605" spans="1:8" ht="15" customHeight="1" x14ac:dyDescent="0.15">
      <c r="A605" s="46"/>
      <c r="B605" s="79" t="s">
        <v>543</v>
      </c>
      <c r="C605" s="18" t="s">
        <v>1320</v>
      </c>
      <c r="D605" s="155"/>
      <c r="E605" s="18" t="s">
        <v>797</v>
      </c>
      <c r="F605" s="155" t="str">
        <f>IF(wskakunin_kanri2_JIMU_TOUROKU_KIKAN__label="","",wskakunin_kanri2_JIMU_TOUROKU_KIKAN__label)</f>
        <v/>
      </c>
      <c r="G605" s="19"/>
      <c r="H605" s="19"/>
    </row>
    <row r="606" spans="1:8" ht="15" customHeight="1" x14ac:dyDescent="0.15">
      <c r="A606" s="46"/>
      <c r="B606" s="79" t="s">
        <v>544</v>
      </c>
      <c r="C606" s="18" t="s">
        <v>798</v>
      </c>
      <c r="D606" s="241"/>
      <c r="E606" s="18" t="s">
        <v>799</v>
      </c>
      <c r="F606" s="155" t="str">
        <f>IF(wskakunin_kanri2_JIMU_NO="","",wskakunin_kanri2_JIMU_NO)</f>
        <v/>
      </c>
      <c r="G606" s="19"/>
      <c r="H606" s="19"/>
    </row>
    <row r="607" spans="1:8" ht="15" customHeight="1" x14ac:dyDescent="0.15">
      <c r="A607" s="62"/>
      <c r="B607" s="73" t="s">
        <v>35</v>
      </c>
      <c r="C607" s="18" t="s">
        <v>800</v>
      </c>
      <c r="D607" s="155"/>
      <c r="E607" s="18" t="s">
        <v>801</v>
      </c>
      <c r="F607" s="155" t="str">
        <f>IF(wskakunin_kanri2_JIMU_NAME="", "", wskakunin_kanri2_JIMU_NAME)</f>
        <v/>
      </c>
      <c r="G607" s="19"/>
      <c r="H607" s="19"/>
    </row>
    <row r="608" spans="1:8" ht="15" customHeight="1" x14ac:dyDescent="0.15">
      <c r="A608" s="62"/>
      <c r="B608" s="73" t="s">
        <v>8</v>
      </c>
      <c r="C608" s="18" t="s">
        <v>802</v>
      </c>
      <c r="D608" s="241"/>
      <c r="E608" s="18" t="s">
        <v>803</v>
      </c>
      <c r="F608" s="155" t="str">
        <f>IF(wskakunin_kanri2_ZIP="", "", wskakunin_kanri2_ZIP)</f>
        <v/>
      </c>
      <c r="G608" s="19"/>
      <c r="H608" s="19"/>
    </row>
    <row r="609" spans="1:8" ht="15" customHeight="1" x14ac:dyDescent="0.15">
      <c r="A609" s="62"/>
      <c r="B609" s="73" t="s">
        <v>11</v>
      </c>
      <c r="C609" s="18" t="s">
        <v>804</v>
      </c>
      <c r="D609" s="155"/>
      <c r="E609" s="18" t="s">
        <v>805</v>
      </c>
      <c r="F609" s="155" t="str">
        <f>IF(wskakunin_kanri2__address="", "", wskakunin_kanri2__address)</f>
        <v/>
      </c>
      <c r="G609" s="19"/>
      <c r="H609" s="19"/>
    </row>
    <row r="610" spans="1:8" ht="15" customHeight="1" x14ac:dyDescent="0.15">
      <c r="A610" s="62"/>
      <c r="B610" s="73" t="s">
        <v>10</v>
      </c>
      <c r="C610" s="18" t="s">
        <v>806</v>
      </c>
      <c r="D610" s="241"/>
      <c r="E610" s="18" t="s">
        <v>807</v>
      </c>
      <c r="F610" s="155" t="str">
        <f>IF(wskakunin_kanri2_TEL="", "", wskakunin_kanri2_TEL)</f>
        <v/>
      </c>
      <c r="G610" s="19"/>
      <c r="H610" s="19"/>
    </row>
    <row r="611" spans="1:8" ht="15" customHeight="1" x14ac:dyDescent="0.15">
      <c r="A611" s="62"/>
      <c r="B611" s="73" t="s">
        <v>579</v>
      </c>
      <c r="C611" s="18" t="s">
        <v>808</v>
      </c>
      <c r="D611" s="241"/>
      <c r="E611" s="18" t="s">
        <v>809</v>
      </c>
      <c r="F611" s="155" t="str">
        <f>IF(wskakunin_kanri2_DOC="","",wskakunin_kanri2_DOC)</f>
        <v/>
      </c>
      <c r="G611" s="19"/>
      <c r="H611" s="19"/>
    </row>
    <row r="612" spans="1:8" ht="15" customHeight="1" x14ac:dyDescent="0.15">
      <c r="A612" s="106"/>
      <c r="B612" s="76"/>
      <c r="G612" s="19"/>
      <c r="H612" s="19"/>
    </row>
    <row r="613" spans="1:8" ht="15" customHeight="1" x14ac:dyDescent="0.15">
      <c r="A613" s="47" t="s">
        <v>601</v>
      </c>
      <c r="B613" s="46" t="s">
        <v>558</v>
      </c>
      <c r="G613" s="19"/>
      <c r="H613" s="19"/>
    </row>
    <row r="614" spans="1:8" ht="15" customHeight="1" x14ac:dyDescent="0.15">
      <c r="A614" s="29"/>
      <c r="B614" s="73" t="s">
        <v>540</v>
      </c>
      <c r="C614" s="18" t="s">
        <v>810</v>
      </c>
      <c r="D614" s="155"/>
      <c r="E614" s="18" t="s">
        <v>811</v>
      </c>
      <c r="F614" s="155" t="str">
        <f>IF(wskakunin_kanri3__sikaku="", "", wskakunin_kanri3__sikaku)</f>
        <v/>
      </c>
      <c r="G614" s="19"/>
      <c r="H614" s="19"/>
    </row>
    <row r="615" spans="1:8" ht="15" customHeight="1" x14ac:dyDescent="0.15">
      <c r="A615" s="29"/>
      <c r="B615" s="73" t="s">
        <v>541</v>
      </c>
      <c r="C615" s="18" t="s">
        <v>812</v>
      </c>
      <c r="D615" s="155"/>
      <c r="E615" s="18" t="s">
        <v>1393</v>
      </c>
      <c r="F615" s="155" t="str">
        <f>IF(wskakunin_kanri3_SIKAKU__label="", "", wskakunin_kanri3_SIKAKU__label)</f>
        <v/>
      </c>
      <c r="G615" s="19"/>
      <c r="H615" s="19"/>
    </row>
    <row r="616" spans="1:8" ht="15" customHeight="1" x14ac:dyDescent="0.15">
      <c r="A616" s="34"/>
      <c r="B616" s="79" t="s">
        <v>536</v>
      </c>
      <c r="C616" s="18" t="s">
        <v>1321</v>
      </c>
      <c r="D616" s="155"/>
      <c r="E616" s="18" t="s">
        <v>813</v>
      </c>
      <c r="F616" s="155" t="str">
        <f>IF(wskakunin_kanri3_TOUROKU_KIKAN__label="","",wskakunin_kanri3_TOUROKU_KIKAN__label)</f>
        <v/>
      </c>
      <c r="G616" s="19"/>
      <c r="H616" s="19"/>
    </row>
    <row r="617" spans="1:8" ht="15" customHeight="1" x14ac:dyDescent="0.15">
      <c r="A617" s="34"/>
      <c r="B617" s="79" t="s">
        <v>537</v>
      </c>
      <c r="C617" s="18" t="s">
        <v>814</v>
      </c>
      <c r="D617" s="241"/>
      <c r="E617" s="18" t="s">
        <v>815</v>
      </c>
      <c r="F617" s="155" t="str">
        <f>IF(wskakunin_kanri3_KENTIKUSI_NO="","",wskakunin_kanri3_KENTIKUSI_NO)</f>
        <v/>
      </c>
      <c r="G617" s="19"/>
      <c r="H617" s="19"/>
    </row>
    <row r="618" spans="1:8" ht="15" customHeight="1" x14ac:dyDescent="0.15">
      <c r="A618" s="62"/>
      <c r="B618" s="73" t="s">
        <v>3</v>
      </c>
      <c r="C618" s="18" t="s">
        <v>816</v>
      </c>
      <c r="D618" s="155"/>
      <c r="E618" s="18" t="s">
        <v>817</v>
      </c>
      <c r="F618" s="155" t="str">
        <f>IF(wskakunin_kanri3_NAME="", "", wskakunin_kanri3_NAME)</f>
        <v/>
      </c>
      <c r="G618" s="19"/>
      <c r="H618" s="19"/>
    </row>
    <row r="619" spans="1:8" ht="15" customHeight="1" x14ac:dyDescent="0.15">
      <c r="A619" s="62"/>
      <c r="B619" s="73" t="s">
        <v>542</v>
      </c>
      <c r="C619" s="18" t="s">
        <v>818</v>
      </c>
      <c r="D619" s="155"/>
      <c r="E619" s="18" t="s">
        <v>819</v>
      </c>
      <c r="F619" s="155" t="str">
        <f>IF(wskakunin_kanri3_JIMU__sikaku="", "", wskakunin_kanri3_JIMU__sikaku)</f>
        <v/>
      </c>
      <c r="G619" s="19"/>
      <c r="H619" s="19"/>
    </row>
    <row r="620" spans="1:8" ht="15" customHeight="1" x14ac:dyDescent="0.15">
      <c r="A620" s="46"/>
      <c r="B620" s="79" t="s">
        <v>34</v>
      </c>
      <c r="C620" s="18" t="s">
        <v>820</v>
      </c>
      <c r="D620" s="155"/>
      <c r="E620" s="18" t="s">
        <v>1394</v>
      </c>
      <c r="F620" s="155" t="str">
        <f>IF(wskakunin_kanri3_JIMU_SIKAKU__label="","",wskakunin_kanri3_JIMU_SIKAKU__label)</f>
        <v/>
      </c>
      <c r="G620" s="19"/>
      <c r="H620" s="19"/>
    </row>
    <row r="621" spans="1:8" ht="15" customHeight="1" x14ac:dyDescent="0.15">
      <c r="A621" s="46"/>
      <c r="B621" s="79" t="s">
        <v>543</v>
      </c>
      <c r="C621" s="18" t="s">
        <v>1322</v>
      </c>
      <c r="D621" s="155"/>
      <c r="E621" s="18" t="s">
        <v>821</v>
      </c>
      <c r="F621" s="155" t="str">
        <f>IF(wskakunin_kanri3_JIMU_TOUROKU_KIKAN__label="","",wskakunin_kanri3_JIMU_TOUROKU_KIKAN__label)</f>
        <v/>
      </c>
      <c r="G621" s="19"/>
      <c r="H621" s="19"/>
    </row>
    <row r="622" spans="1:8" ht="15" customHeight="1" x14ac:dyDescent="0.15">
      <c r="A622" s="46"/>
      <c r="B622" s="79" t="s">
        <v>544</v>
      </c>
      <c r="C622" s="18" t="s">
        <v>822</v>
      </c>
      <c r="D622" s="241"/>
      <c r="E622" s="18" t="s">
        <v>823</v>
      </c>
      <c r="F622" s="155" t="str">
        <f>IF(wskakunin_kanri3_JIMU_NO="","",wskakunin_kanri3_JIMU_NO)</f>
        <v/>
      </c>
      <c r="G622" s="19"/>
      <c r="H622" s="19"/>
    </row>
    <row r="623" spans="1:8" ht="15" customHeight="1" x14ac:dyDescent="0.15">
      <c r="A623" s="62"/>
      <c r="B623" s="73" t="s">
        <v>35</v>
      </c>
      <c r="C623" s="18" t="s">
        <v>824</v>
      </c>
      <c r="D623" s="155"/>
      <c r="E623" s="18" t="s">
        <v>825</v>
      </c>
      <c r="F623" s="155" t="str">
        <f>IF(wskakunin_kanri3_JIMU_NAME="", "", wskakunin_kanri3_JIMU_NAME)</f>
        <v/>
      </c>
      <c r="G623" s="19"/>
      <c r="H623" s="19"/>
    </row>
    <row r="624" spans="1:8" ht="15" customHeight="1" x14ac:dyDescent="0.15">
      <c r="A624" s="62"/>
      <c r="B624" s="73" t="s">
        <v>8</v>
      </c>
      <c r="C624" s="18" t="s">
        <v>826</v>
      </c>
      <c r="D624" s="241"/>
      <c r="E624" s="18" t="s">
        <v>827</v>
      </c>
      <c r="F624" s="155" t="str">
        <f>IF(wskakunin_kanri3_ZIP="", "", wskakunin_kanri3_ZIP)</f>
        <v/>
      </c>
      <c r="G624" s="19"/>
      <c r="H624" s="19"/>
    </row>
    <row r="625" spans="1:8" ht="15" customHeight="1" x14ac:dyDescent="0.15">
      <c r="A625" s="62"/>
      <c r="B625" s="73" t="s">
        <v>11</v>
      </c>
      <c r="C625" s="18" t="s">
        <v>828</v>
      </c>
      <c r="D625" s="155"/>
      <c r="E625" s="18" t="s">
        <v>829</v>
      </c>
      <c r="F625" s="155" t="str">
        <f>IF(wskakunin_kanri3__address="", "", wskakunin_kanri3__address)</f>
        <v/>
      </c>
      <c r="G625" s="19"/>
      <c r="H625" s="19"/>
    </row>
    <row r="626" spans="1:8" ht="15" customHeight="1" x14ac:dyDescent="0.15">
      <c r="A626" s="62"/>
      <c r="B626" s="73" t="s">
        <v>10</v>
      </c>
      <c r="C626" s="18" t="s">
        <v>830</v>
      </c>
      <c r="D626" s="241"/>
      <c r="E626" s="18" t="s">
        <v>831</v>
      </c>
      <c r="F626" s="155" t="str">
        <f>IF(wskakunin_kanri3_TEL="", "", wskakunin_kanri3_TEL)</f>
        <v/>
      </c>
      <c r="G626" s="19"/>
      <c r="H626" s="19"/>
    </row>
    <row r="627" spans="1:8" ht="15" customHeight="1" x14ac:dyDescent="0.15">
      <c r="A627" s="62"/>
      <c r="B627" s="73" t="s">
        <v>579</v>
      </c>
      <c r="C627" s="18" t="s">
        <v>832</v>
      </c>
      <c r="D627" s="241"/>
      <c r="E627" s="18" t="s">
        <v>833</v>
      </c>
      <c r="F627" s="155" t="str">
        <f>IF(wskakunin_kanri3_DOC="","",wskakunin_kanri3_DOC)</f>
        <v/>
      </c>
      <c r="G627" s="19"/>
      <c r="H627" s="19"/>
    </row>
    <row r="628" spans="1:8" ht="15" customHeight="1" x14ac:dyDescent="0.15">
      <c r="A628" s="46"/>
      <c r="B628" s="76"/>
      <c r="G628" s="19"/>
      <c r="H628" s="19"/>
    </row>
    <row r="629" spans="1:8" ht="15" customHeight="1" x14ac:dyDescent="0.15">
      <c r="A629" s="47" t="s">
        <v>602</v>
      </c>
      <c r="B629" s="46" t="s">
        <v>558</v>
      </c>
      <c r="G629" s="19"/>
      <c r="H629" s="19"/>
    </row>
    <row r="630" spans="1:8" ht="15" customHeight="1" x14ac:dyDescent="0.15">
      <c r="A630" s="29"/>
      <c r="B630" s="73" t="s">
        <v>540</v>
      </c>
      <c r="C630" s="18" t="s">
        <v>834</v>
      </c>
      <c r="D630" s="155"/>
      <c r="E630" s="18" t="s">
        <v>835</v>
      </c>
      <c r="F630" s="155" t="str">
        <f>IF(wskakunin_kanri4__sikaku="", "", wskakunin_kanri4__sikaku)</f>
        <v/>
      </c>
      <c r="G630" s="19"/>
      <c r="H630" s="19"/>
    </row>
    <row r="631" spans="1:8" ht="15" customHeight="1" x14ac:dyDescent="0.15">
      <c r="A631" s="29"/>
      <c r="B631" s="73" t="s">
        <v>541</v>
      </c>
      <c r="C631" s="18" t="s">
        <v>836</v>
      </c>
      <c r="D631" s="155"/>
      <c r="E631" s="18" t="s">
        <v>1395</v>
      </c>
      <c r="F631" s="155" t="str">
        <f>IF(wskakunin_kanri4_SIKAKU__label="", "", wskakunin_kanri4_SIKAKU__label)</f>
        <v/>
      </c>
      <c r="G631" s="19"/>
      <c r="H631" s="19"/>
    </row>
    <row r="632" spans="1:8" ht="15" customHeight="1" x14ac:dyDescent="0.15">
      <c r="A632" s="34"/>
      <c r="B632" s="79" t="s">
        <v>536</v>
      </c>
      <c r="C632" s="18" t="s">
        <v>1323</v>
      </c>
      <c r="D632" s="155"/>
      <c r="E632" s="18" t="s">
        <v>837</v>
      </c>
      <c r="F632" s="155" t="str">
        <f>IF(wskakunin_kanri4_TOUROKU_KIKAN__label="","",wskakunin_kanri4_TOUROKU_KIKAN__label)</f>
        <v/>
      </c>
      <c r="G632" s="19"/>
      <c r="H632" s="19"/>
    </row>
    <row r="633" spans="1:8" ht="15" customHeight="1" x14ac:dyDescent="0.15">
      <c r="A633" s="34"/>
      <c r="B633" s="79" t="s">
        <v>537</v>
      </c>
      <c r="C633" s="18" t="s">
        <v>838</v>
      </c>
      <c r="D633" s="241"/>
      <c r="E633" s="18" t="s">
        <v>839</v>
      </c>
      <c r="F633" s="155" t="str">
        <f>IF(wskakunin_kanri4_KENTIKUSI_NO="","",wskakunin_kanri4_KENTIKUSI_NO)</f>
        <v/>
      </c>
      <c r="G633" s="19"/>
      <c r="H633" s="19"/>
    </row>
    <row r="634" spans="1:8" ht="15" customHeight="1" x14ac:dyDescent="0.15">
      <c r="A634" s="62"/>
      <c r="B634" s="73" t="s">
        <v>3</v>
      </c>
      <c r="C634" s="18" t="s">
        <v>840</v>
      </c>
      <c r="D634" s="155"/>
      <c r="E634" s="18" t="s">
        <v>841</v>
      </c>
      <c r="F634" s="155" t="str">
        <f>IF(wskakunin_kanri4_NAME="", "", wskakunin_kanri4_NAME)</f>
        <v/>
      </c>
      <c r="G634" s="19"/>
      <c r="H634" s="19"/>
    </row>
    <row r="635" spans="1:8" ht="15" customHeight="1" x14ac:dyDescent="0.15">
      <c r="A635" s="62"/>
      <c r="B635" s="73" t="s">
        <v>542</v>
      </c>
      <c r="C635" s="18" t="s">
        <v>842</v>
      </c>
      <c r="D635" s="155"/>
      <c r="E635" s="18" t="s">
        <v>843</v>
      </c>
      <c r="F635" s="155" t="str">
        <f>IF(wskakunin_kanri4_JIMU__sikaku="", "", wskakunin_kanri4_JIMU__sikaku)</f>
        <v/>
      </c>
      <c r="G635" s="19"/>
      <c r="H635" s="19"/>
    </row>
    <row r="636" spans="1:8" ht="15" customHeight="1" x14ac:dyDescent="0.15">
      <c r="A636" s="46"/>
      <c r="B636" s="79" t="s">
        <v>34</v>
      </c>
      <c r="C636" s="18" t="s">
        <v>844</v>
      </c>
      <c r="D636" s="155"/>
      <c r="E636" s="18" t="s">
        <v>1388</v>
      </c>
      <c r="F636" s="155" t="str">
        <f>IF(wskakunin_kanri4_JIMU_SIKAKU__label="","",wskakunin_kanri4_JIMU_SIKAKU__label)</f>
        <v/>
      </c>
      <c r="G636" s="19"/>
      <c r="H636" s="19"/>
    </row>
    <row r="637" spans="1:8" ht="15" customHeight="1" x14ac:dyDescent="0.15">
      <c r="A637" s="46"/>
      <c r="B637" s="79" t="s">
        <v>543</v>
      </c>
      <c r="C637" s="18" t="s">
        <v>1324</v>
      </c>
      <c r="D637" s="155"/>
      <c r="E637" s="18" t="s">
        <v>845</v>
      </c>
      <c r="F637" s="155" t="str">
        <f>IF(wskakunin_kanri4_JIMU_TOUROKU_KIKAN__label="","",wskakunin_kanri4_JIMU_TOUROKU_KIKAN__label)</f>
        <v/>
      </c>
      <c r="G637" s="19"/>
      <c r="H637" s="19"/>
    </row>
    <row r="638" spans="1:8" ht="15" customHeight="1" x14ac:dyDescent="0.15">
      <c r="A638" s="46"/>
      <c r="B638" s="79" t="s">
        <v>544</v>
      </c>
      <c r="C638" s="18" t="s">
        <v>846</v>
      </c>
      <c r="D638" s="241"/>
      <c r="E638" s="18" t="s">
        <v>847</v>
      </c>
      <c r="F638" s="155" t="str">
        <f>IF(wskakunin_kanri4_JIMU_NO="","",wskakunin_kanri4_JIMU_NO)</f>
        <v/>
      </c>
      <c r="G638" s="19"/>
      <c r="H638" s="19"/>
    </row>
    <row r="639" spans="1:8" ht="15" customHeight="1" x14ac:dyDescent="0.15">
      <c r="A639" s="62"/>
      <c r="B639" s="73" t="s">
        <v>35</v>
      </c>
      <c r="C639" s="18" t="s">
        <v>848</v>
      </c>
      <c r="D639" s="155"/>
      <c r="E639" s="18" t="s">
        <v>849</v>
      </c>
      <c r="F639" s="155" t="str">
        <f>IF(wskakunin_kanri4_JIMU_NAME="", "", wskakunin_kanri4_JIMU_NAME)</f>
        <v/>
      </c>
      <c r="G639" s="19"/>
      <c r="H639" s="19"/>
    </row>
    <row r="640" spans="1:8" ht="15" customHeight="1" x14ac:dyDescent="0.15">
      <c r="A640" s="62"/>
      <c r="B640" s="73" t="s">
        <v>8</v>
      </c>
      <c r="C640" s="18" t="s">
        <v>850</v>
      </c>
      <c r="D640" s="241"/>
      <c r="E640" s="18" t="s">
        <v>851</v>
      </c>
      <c r="F640" s="155" t="str">
        <f>IF(wskakunin_kanri4_ZIP="", "", wskakunin_kanri4_ZIP)</f>
        <v/>
      </c>
      <c r="G640" s="19"/>
      <c r="H640" s="19"/>
    </row>
    <row r="641" spans="1:8" ht="15" customHeight="1" x14ac:dyDescent="0.15">
      <c r="A641" s="62"/>
      <c r="B641" s="73" t="s">
        <v>11</v>
      </c>
      <c r="C641" s="18" t="s">
        <v>852</v>
      </c>
      <c r="D641" s="155"/>
      <c r="E641" s="18" t="s">
        <v>853</v>
      </c>
      <c r="F641" s="155" t="str">
        <f>IF(wskakunin_kanri4__address="", "", wskakunin_kanri4__address)</f>
        <v/>
      </c>
      <c r="G641" s="19"/>
      <c r="H641" s="19"/>
    </row>
    <row r="642" spans="1:8" ht="15" customHeight="1" x14ac:dyDescent="0.15">
      <c r="A642" s="62"/>
      <c r="B642" s="73" t="s">
        <v>10</v>
      </c>
      <c r="C642" s="18" t="s">
        <v>854</v>
      </c>
      <c r="D642" s="241"/>
      <c r="E642" s="18" t="s">
        <v>855</v>
      </c>
      <c r="F642" s="155" t="str">
        <f>IF(wskakunin_kanri4_TEL="", "", wskakunin_kanri4_TEL)</f>
        <v/>
      </c>
      <c r="G642" s="19"/>
      <c r="H642" s="19"/>
    </row>
    <row r="643" spans="1:8" ht="15" customHeight="1" x14ac:dyDescent="0.15">
      <c r="A643" s="62"/>
      <c r="B643" s="73" t="s">
        <v>579</v>
      </c>
      <c r="C643" s="18" t="s">
        <v>856</v>
      </c>
      <c r="D643" s="241"/>
      <c r="E643" s="18" t="s">
        <v>857</v>
      </c>
      <c r="F643" s="155" t="str">
        <f>IF(wskakunin_kanri4_DOC="","",wskakunin_kanri4_DOC)</f>
        <v/>
      </c>
      <c r="G643" s="19"/>
      <c r="H643" s="19"/>
    </row>
    <row r="644" spans="1:8" ht="15" customHeight="1" x14ac:dyDescent="0.15">
      <c r="A644" s="46"/>
      <c r="B644" s="77"/>
      <c r="G644" s="19"/>
      <c r="H644" s="19"/>
    </row>
    <row r="645" spans="1:8" ht="15" customHeight="1" x14ac:dyDescent="0.15">
      <c r="A645" s="47" t="s">
        <v>2084</v>
      </c>
      <c r="B645" s="46" t="s">
        <v>558</v>
      </c>
      <c r="G645" s="19"/>
      <c r="H645" s="19"/>
    </row>
    <row r="646" spans="1:8" ht="15" customHeight="1" x14ac:dyDescent="0.15">
      <c r="A646" s="29"/>
      <c r="B646" s="73" t="s">
        <v>540</v>
      </c>
      <c r="C646" s="18" t="s">
        <v>1888</v>
      </c>
      <c r="D646" s="155"/>
      <c r="E646" s="18" t="s">
        <v>1889</v>
      </c>
      <c r="F646" s="155" t="str">
        <f>IF(wskakunin_kanri5__sikaku="", "", wskakunin_kanri5__sikaku)</f>
        <v/>
      </c>
      <c r="H646" s="19"/>
    </row>
    <row r="647" spans="1:8" ht="15" customHeight="1" x14ac:dyDescent="0.15">
      <c r="A647" s="29"/>
      <c r="B647" s="73" t="s">
        <v>541</v>
      </c>
      <c r="C647" s="18" t="s">
        <v>1890</v>
      </c>
      <c r="D647" s="155"/>
      <c r="E647" s="18" t="s">
        <v>1891</v>
      </c>
      <c r="F647" s="155" t="str">
        <f>IF(wskakunin_kanri5_SIKAKU__label="", "", wskakunin_kanri5_SIKAKU__label)</f>
        <v/>
      </c>
      <c r="H647" s="19"/>
    </row>
    <row r="648" spans="1:8" ht="15" customHeight="1" x14ac:dyDescent="0.15">
      <c r="A648" s="34"/>
      <c r="B648" s="79" t="s">
        <v>536</v>
      </c>
      <c r="C648" s="18" t="s">
        <v>1892</v>
      </c>
      <c r="D648" s="155"/>
      <c r="E648" s="18" t="s">
        <v>1893</v>
      </c>
      <c r="F648" s="155" t="str">
        <f>IF(wskakunin_kanri5_TOUROKU_KIKAN__label="","",wskakunin_kanri5_TOUROKU_KIKAN__label)</f>
        <v/>
      </c>
      <c r="H648" s="19"/>
    </row>
    <row r="649" spans="1:8" ht="15" customHeight="1" x14ac:dyDescent="0.15">
      <c r="A649" s="34"/>
      <c r="B649" s="79" t="s">
        <v>537</v>
      </c>
      <c r="C649" s="18" t="s">
        <v>1894</v>
      </c>
      <c r="D649" s="241"/>
      <c r="E649" s="18" t="s">
        <v>1895</v>
      </c>
      <c r="F649" s="155" t="str">
        <f>IF(wskakunin_kanri5_KENTIKUSI_NO="","",wskakunin_kanri5_KENTIKUSI_NO)</f>
        <v/>
      </c>
      <c r="H649" s="19"/>
    </row>
    <row r="650" spans="1:8" ht="15" customHeight="1" x14ac:dyDescent="0.15">
      <c r="A650" s="62"/>
      <c r="B650" s="73" t="s">
        <v>3</v>
      </c>
      <c r="C650" s="18" t="s">
        <v>1896</v>
      </c>
      <c r="D650" s="155"/>
      <c r="E650" s="18" t="s">
        <v>1897</v>
      </c>
      <c r="F650" s="155" t="str">
        <f>IF(wskakunin_kanri5_NAME="", "", wskakunin_kanri5_NAME)</f>
        <v/>
      </c>
      <c r="H650" s="19"/>
    </row>
    <row r="651" spans="1:8" ht="15" customHeight="1" x14ac:dyDescent="0.15">
      <c r="A651" s="62"/>
      <c r="B651" s="73" t="s">
        <v>542</v>
      </c>
      <c r="C651" s="18" t="s">
        <v>1898</v>
      </c>
      <c r="D651" s="155"/>
      <c r="E651" s="18" t="s">
        <v>1899</v>
      </c>
      <c r="F651" s="155" t="str">
        <f>IF(wskakunin_kanri5_JIMU__sikaku="", "", wskakunin_kanri5_JIMU__sikaku)</f>
        <v/>
      </c>
      <c r="H651" s="19"/>
    </row>
    <row r="652" spans="1:8" ht="15" customHeight="1" x14ac:dyDescent="0.15">
      <c r="A652" s="46"/>
      <c r="B652" s="79" t="s">
        <v>34</v>
      </c>
      <c r="C652" s="18" t="s">
        <v>1900</v>
      </c>
      <c r="D652" s="155"/>
      <c r="E652" s="18" t="s">
        <v>1901</v>
      </c>
      <c r="F652" s="155" t="str">
        <f>IF(wskakunin_kanri5_JIMU_SIKAKU__label="","",wskakunin_kanri5_JIMU_SIKAKU__label)</f>
        <v/>
      </c>
      <c r="H652" s="19"/>
    </row>
    <row r="653" spans="1:8" ht="15" customHeight="1" x14ac:dyDescent="0.15">
      <c r="A653" s="46"/>
      <c r="B653" s="79" t="s">
        <v>543</v>
      </c>
      <c r="C653" s="18" t="s">
        <v>1902</v>
      </c>
      <c r="D653" s="155"/>
      <c r="E653" s="18" t="s">
        <v>1903</v>
      </c>
      <c r="F653" s="155" t="str">
        <f>IF(wskakunin_kanri5_JIMU_TOUROKU_KIKAN__label="","",wskakunin_kanri5_JIMU_TOUROKU_KIKAN__label)</f>
        <v/>
      </c>
      <c r="H653" s="19"/>
    </row>
    <row r="654" spans="1:8" ht="15" customHeight="1" x14ac:dyDescent="0.15">
      <c r="A654" s="46"/>
      <c r="B654" s="79" t="s">
        <v>544</v>
      </c>
      <c r="C654" s="18" t="s">
        <v>1904</v>
      </c>
      <c r="D654" s="241"/>
      <c r="E654" s="18" t="s">
        <v>1905</v>
      </c>
      <c r="F654" s="155" t="str">
        <f>IF(wskakunin_kanri5_JIMU_NO="","",wskakunin_kanri5_JIMU_NO)</f>
        <v/>
      </c>
      <c r="H654" s="19"/>
    </row>
    <row r="655" spans="1:8" ht="15" customHeight="1" x14ac:dyDescent="0.15">
      <c r="A655" s="62"/>
      <c r="B655" s="73" t="s">
        <v>35</v>
      </c>
      <c r="C655" s="18" t="s">
        <v>1906</v>
      </c>
      <c r="D655" s="155"/>
      <c r="E655" s="18" t="s">
        <v>1907</v>
      </c>
      <c r="F655" s="155" t="str">
        <f>IF(wskakunin_kanri5_JIMU_NAME="", "", wskakunin_kanri5_JIMU_NAME)</f>
        <v/>
      </c>
      <c r="H655" s="19"/>
    </row>
    <row r="656" spans="1:8" ht="15" customHeight="1" x14ac:dyDescent="0.15">
      <c r="A656" s="62"/>
      <c r="B656" s="73" t="s">
        <v>8</v>
      </c>
      <c r="C656" s="18" t="s">
        <v>1908</v>
      </c>
      <c r="D656" s="241"/>
      <c r="E656" s="18" t="s">
        <v>1909</v>
      </c>
      <c r="F656" s="155" t="str">
        <f>IF(wskakunin_kanri5_ZIP="", "", wskakunin_kanri5_ZIP)</f>
        <v/>
      </c>
      <c r="H656" s="19"/>
    </row>
    <row r="657" spans="1:8" ht="15" customHeight="1" x14ac:dyDescent="0.15">
      <c r="A657" s="62"/>
      <c r="B657" s="73" t="s">
        <v>11</v>
      </c>
      <c r="C657" s="18" t="s">
        <v>1910</v>
      </c>
      <c r="D657" s="155"/>
      <c r="E657" s="18" t="s">
        <v>1911</v>
      </c>
      <c r="F657" s="155" t="str">
        <f>IF(wskakunin_kanri5__address="", "", wskakunin_kanri5__address)</f>
        <v/>
      </c>
      <c r="H657" s="19"/>
    </row>
    <row r="658" spans="1:8" ht="15" customHeight="1" x14ac:dyDescent="0.15">
      <c r="A658" s="62"/>
      <c r="B658" s="73" t="s">
        <v>10</v>
      </c>
      <c r="C658" s="18" t="s">
        <v>1912</v>
      </c>
      <c r="D658" s="241"/>
      <c r="E658" s="18" t="s">
        <v>1913</v>
      </c>
      <c r="F658" s="155" t="str">
        <f>IF(wskakunin_kanri5_TEL="", "", wskakunin_kanri5_TEL)</f>
        <v/>
      </c>
      <c r="H658" s="19"/>
    </row>
    <row r="659" spans="1:8" ht="15" customHeight="1" x14ac:dyDescent="0.15">
      <c r="A659" s="62"/>
      <c r="B659" s="73" t="s">
        <v>579</v>
      </c>
      <c r="C659" s="18" t="s">
        <v>1914</v>
      </c>
      <c r="D659" s="241"/>
      <c r="E659" s="18" t="s">
        <v>1915</v>
      </c>
      <c r="F659" s="155" t="str">
        <f>IF(wskakunin_kanri5_DOC="","",wskakunin_kanri5_DOC)</f>
        <v/>
      </c>
      <c r="H659" s="19"/>
    </row>
    <row r="660" spans="1:8" ht="15" customHeight="1" x14ac:dyDescent="0.15">
      <c r="A660" s="46"/>
      <c r="B660" s="76"/>
      <c r="H660" s="19"/>
    </row>
    <row r="661" spans="1:8" ht="15" customHeight="1" x14ac:dyDescent="0.15">
      <c r="A661" s="47" t="s">
        <v>2085</v>
      </c>
      <c r="B661" s="46" t="s">
        <v>558</v>
      </c>
      <c r="H661" s="19"/>
    </row>
    <row r="662" spans="1:8" ht="15" customHeight="1" x14ac:dyDescent="0.15">
      <c r="A662" s="29"/>
      <c r="B662" s="73" t="s">
        <v>540</v>
      </c>
      <c r="C662" s="18" t="s">
        <v>1916</v>
      </c>
      <c r="D662" s="155"/>
      <c r="E662" s="18" t="s">
        <v>1917</v>
      </c>
      <c r="F662" s="155" t="str">
        <f>IF(wskakunin_kanri6__sikaku="", "", wskakunin_kanri6__sikaku)</f>
        <v/>
      </c>
      <c r="H662" s="19"/>
    </row>
    <row r="663" spans="1:8" ht="15" customHeight="1" x14ac:dyDescent="0.15">
      <c r="A663" s="29"/>
      <c r="B663" s="73" t="s">
        <v>541</v>
      </c>
      <c r="C663" s="18" t="s">
        <v>1918</v>
      </c>
      <c r="D663" s="155"/>
      <c r="E663" s="18" t="s">
        <v>1919</v>
      </c>
      <c r="F663" s="155" t="str">
        <f>IF(wskakunin_kanri6_SIKAKU__label="", "", wskakunin_kanri6_SIKAKU__label)</f>
        <v/>
      </c>
      <c r="H663" s="19"/>
    </row>
    <row r="664" spans="1:8" ht="15" customHeight="1" x14ac:dyDescent="0.15">
      <c r="A664" s="34"/>
      <c r="B664" s="79" t="s">
        <v>536</v>
      </c>
      <c r="C664" s="18" t="s">
        <v>1920</v>
      </c>
      <c r="D664" s="155"/>
      <c r="E664" s="18" t="s">
        <v>1921</v>
      </c>
      <c r="F664" s="155" t="str">
        <f>IF(wskakunin_kanri6_TOUROKU_KIKAN__label="","",wskakunin_kanri6_TOUROKU_KIKAN__label)</f>
        <v/>
      </c>
      <c r="H664" s="19"/>
    </row>
    <row r="665" spans="1:8" ht="15" customHeight="1" x14ac:dyDescent="0.15">
      <c r="A665" s="34"/>
      <c r="B665" s="79" t="s">
        <v>537</v>
      </c>
      <c r="C665" s="18" t="s">
        <v>1922</v>
      </c>
      <c r="D665" s="241"/>
      <c r="E665" s="18" t="s">
        <v>1923</v>
      </c>
      <c r="F665" s="155" t="str">
        <f>IF(wskakunin_kanri6_KENTIKUSI_NO="","",wskakunin_kanri6_KENTIKUSI_NO)</f>
        <v/>
      </c>
      <c r="H665" s="19"/>
    </row>
    <row r="666" spans="1:8" ht="15" customHeight="1" x14ac:dyDescent="0.15">
      <c r="A666" s="62"/>
      <c r="B666" s="73" t="s">
        <v>3</v>
      </c>
      <c r="C666" s="18" t="s">
        <v>1924</v>
      </c>
      <c r="D666" s="155"/>
      <c r="E666" s="18" t="s">
        <v>1925</v>
      </c>
      <c r="F666" s="155" t="str">
        <f>IF(wskakunin_kanri6_NAME="", "", wskakunin_kanri6_NAME)</f>
        <v/>
      </c>
      <c r="H666" s="19"/>
    </row>
    <row r="667" spans="1:8" ht="15" customHeight="1" x14ac:dyDescent="0.15">
      <c r="A667" s="62"/>
      <c r="B667" s="73" t="s">
        <v>542</v>
      </c>
      <c r="C667" s="18" t="s">
        <v>1926</v>
      </c>
      <c r="D667" s="155"/>
      <c r="E667" s="18" t="s">
        <v>1927</v>
      </c>
      <c r="F667" s="155" t="str">
        <f>IF(wskakunin_kanri6_JIMU__sikaku="", "", wskakunin_kanri6_JIMU__sikaku)</f>
        <v/>
      </c>
      <c r="H667" s="19"/>
    </row>
    <row r="668" spans="1:8" ht="15" customHeight="1" x14ac:dyDescent="0.15">
      <c r="A668" s="46"/>
      <c r="B668" s="79" t="s">
        <v>34</v>
      </c>
      <c r="C668" s="18" t="s">
        <v>1928</v>
      </c>
      <c r="D668" s="155"/>
      <c r="E668" s="18" t="s">
        <v>1929</v>
      </c>
      <c r="F668" s="155" t="str">
        <f>IF(wskakunin_kanri6_JIMU_SIKAKU__label="","",wskakunin_kanri6_JIMU_SIKAKU__label)</f>
        <v/>
      </c>
      <c r="H668" s="19"/>
    </row>
    <row r="669" spans="1:8" ht="15" customHeight="1" x14ac:dyDescent="0.15">
      <c r="A669" s="46"/>
      <c r="B669" s="79" t="s">
        <v>543</v>
      </c>
      <c r="C669" s="18" t="s">
        <v>1930</v>
      </c>
      <c r="D669" s="155"/>
      <c r="E669" s="18" t="s">
        <v>1931</v>
      </c>
      <c r="F669" s="155" t="str">
        <f>IF(wskakunin_kanri6_JIMU_TOUROKU_KIKAN__label="","",wskakunin_kanri6_JIMU_TOUROKU_KIKAN__label)</f>
        <v/>
      </c>
      <c r="H669" s="19"/>
    </row>
    <row r="670" spans="1:8" ht="15" customHeight="1" x14ac:dyDescent="0.15">
      <c r="A670" s="46"/>
      <c r="B670" s="79" t="s">
        <v>544</v>
      </c>
      <c r="C670" s="18" t="s">
        <v>1932</v>
      </c>
      <c r="D670" s="241"/>
      <c r="E670" s="18" t="s">
        <v>1933</v>
      </c>
      <c r="F670" s="155" t="str">
        <f>IF(wskakunin_kanri6_JIMU_NO="","",wskakunin_kanri6_JIMU_NO)</f>
        <v/>
      </c>
      <c r="H670" s="19"/>
    </row>
    <row r="671" spans="1:8" ht="15" customHeight="1" x14ac:dyDescent="0.15">
      <c r="A671" s="62"/>
      <c r="B671" s="73" t="s">
        <v>35</v>
      </c>
      <c r="C671" s="18" t="s">
        <v>1934</v>
      </c>
      <c r="D671" s="155"/>
      <c r="E671" s="18" t="s">
        <v>1935</v>
      </c>
      <c r="F671" s="155" t="str">
        <f>IF(wskakunin_kanri6_JIMU_NAME="", "", wskakunin_kanri6_JIMU_NAME)</f>
        <v/>
      </c>
      <c r="H671" s="19"/>
    </row>
    <row r="672" spans="1:8" ht="15" customHeight="1" x14ac:dyDescent="0.15">
      <c r="A672" s="62"/>
      <c r="B672" s="73" t="s">
        <v>8</v>
      </c>
      <c r="C672" s="18" t="s">
        <v>1936</v>
      </c>
      <c r="D672" s="241"/>
      <c r="E672" s="18" t="s">
        <v>1937</v>
      </c>
      <c r="F672" s="155" t="str">
        <f>IF(wskakunin_kanri6_ZIP="", "", wskakunin_kanri6_ZIP)</f>
        <v/>
      </c>
      <c r="H672" s="19"/>
    </row>
    <row r="673" spans="1:8" ht="15" customHeight="1" x14ac:dyDescent="0.15">
      <c r="A673" s="62"/>
      <c r="B673" s="73" t="s">
        <v>11</v>
      </c>
      <c r="C673" s="18" t="s">
        <v>1938</v>
      </c>
      <c r="D673" s="155"/>
      <c r="E673" s="18" t="s">
        <v>1939</v>
      </c>
      <c r="F673" s="155" t="str">
        <f>IF(wskakunin_kanri6__address="", "", wskakunin_kanri6__address)</f>
        <v/>
      </c>
      <c r="H673" s="19"/>
    </row>
    <row r="674" spans="1:8" ht="15" customHeight="1" x14ac:dyDescent="0.15">
      <c r="A674" s="62"/>
      <c r="B674" s="73" t="s">
        <v>10</v>
      </c>
      <c r="C674" s="18" t="s">
        <v>1940</v>
      </c>
      <c r="D674" s="241"/>
      <c r="E674" s="18" t="s">
        <v>1941</v>
      </c>
      <c r="F674" s="155" t="str">
        <f>IF(wskakunin_kanri6_TEL="", "", wskakunin_kanri6_TEL)</f>
        <v/>
      </c>
      <c r="H674" s="19"/>
    </row>
    <row r="675" spans="1:8" ht="15" customHeight="1" x14ac:dyDescent="0.15">
      <c r="A675" s="62"/>
      <c r="B675" s="73" t="s">
        <v>579</v>
      </c>
      <c r="C675" s="18" t="s">
        <v>1942</v>
      </c>
      <c r="D675" s="241"/>
      <c r="E675" s="18" t="s">
        <v>1943</v>
      </c>
      <c r="F675" s="155" t="str">
        <f>IF(wskakunin_kanri6_DOC="","",wskakunin_kanri6_DOC)</f>
        <v/>
      </c>
      <c r="H675" s="19"/>
    </row>
    <row r="676" spans="1:8" ht="15" customHeight="1" x14ac:dyDescent="0.15">
      <c r="A676" s="46"/>
      <c r="B676" s="76"/>
      <c r="H676" s="19"/>
    </row>
    <row r="677" spans="1:8" ht="15" customHeight="1" x14ac:dyDescent="0.15">
      <c r="A677" s="47" t="s">
        <v>2086</v>
      </c>
      <c r="B677" s="46" t="s">
        <v>558</v>
      </c>
      <c r="H677" s="19"/>
    </row>
    <row r="678" spans="1:8" ht="15" customHeight="1" x14ac:dyDescent="0.15">
      <c r="A678" s="29"/>
      <c r="B678" s="73" t="s">
        <v>540</v>
      </c>
      <c r="C678" s="18" t="s">
        <v>1944</v>
      </c>
      <c r="D678" s="155"/>
      <c r="E678" s="18" t="s">
        <v>1945</v>
      </c>
      <c r="F678" s="155" t="str">
        <f>IF(wskakunin_kanri7__sikaku="", "", wskakunin_kanri7__sikaku)</f>
        <v/>
      </c>
      <c r="H678" s="19"/>
    </row>
    <row r="679" spans="1:8" ht="15" customHeight="1" x14ac:dyDescent="0.15">
      <c r="A679" s="29"/>
      <c r="B679" s="73" t="s">
        <v>541</v>
      </c>
      <c r="C679" s="18" t="s">
        <v>1946</v>
      </c>
      <c r="D679" s="155"/>
      <c r="E679" s="18" t="s">
        <v>1947</v>
      </c>
      <c r="F679" s="155" t="str">
        <f>IF(wskakunin_kanri7_SIKAKU__label="", "", wskakunin_kanri7_SIKAKU__label)</f>
        <v/>
      </c>
      <c r="H679" s="19"/>
    </row>
    <row r="680" spans="1:8" ht="15" customHeight="1" x14ac:dyDescent="0.15">
      <c r="A680" s="34"/>
      <c r="B680" s="79" t="s">
        <v>536</v>
      </c>
      <c r="C680" s="18" t="s">
        <v>1948</v>
      </c>
      <c r="D680" s="155"/>
      <c r="E680" s="18" t="s">
        <v>1949</v>
      </c>
      <c r="F680" s="155" t="str">
        <f>IF(wskakunin_kanri7_TOUROKU_KIKAN__label="","",wskakunin_kanri7_TOUROKU_KIKAN__label)</f>
        <v/>
      </c>
      <c r="H680" s="19"/>
    </row>
    <row r="681" spans="1:8" ht="15" customHeight="1" x14ac:dyDescent="0.15">
      <c r="A681" s="34"/>
      <c r="B681" s="79" t="s">
        <v>537</v>
      </c>
      <c r="C681" s="18" t="s">
        <v>1950</v>
      </c>
      <c r="D681" s="241"/>
      <c r="E681" s="18" t="s">
        <v>1951</v>
      </c>
      <c r="F681" s="155" t="str">
        <f>IF(wskakunin_kanri7_KENTIKUSI_NO="","",wskakunin_kanri7_KENTIKUSI_NO)</f>
        <v/>
      </c>
      <c r="H681" s="19"/>
    </row>
    <row r="682" spans="1:8" ht="15" customHeight="1" x14ac:dyDescent="0.15">
      <c r="A682" s="62"/>
      <c r="B682" s="73" t="s">
        <v>3</v>
      </c>
      <c r="C682" s="18" t="s">
        <v>1952</v>
      </c>
      <c r="D682" s="155"/>
      <c r="E682" s="18" t="s">
        <v>1953</v>
      </c>
      <c r="F682" s="155" t="str">
        <f>IF(wskakunin_kanri7_NAME="", "", wskakunin_kanri7_NAME)</f>
        <v/>
      </c>
      <c r="H682" s="19"/>
    </row>
    <row r="683" spans="1:8" ht="15" customHeight="1" x14ac:dyDescent="0.15">
      <c r="A683" s="62"/>
      <c r="B683" s="73" t="s">
        <v>542</v>
      </c>
      <c r="C683" s="18" t="s">
        <v>1954</v>
      </c>
      <c r="D683" s="155"/>
      <c r="E683" s="18" t="s">
        <v>1955</v>
      </c>
      <c r="F683" s="155" t="str">
        <f>IF(wskakunin_kanri7_JIMU__sikaku="", "", wskakunin_kanri7_JIMU__sikaku)</f>
        <v/>
      </c>
      <c r="H683" s="19"/>
    </row>
    <row r="684" spans="1:8" ht="15" customHeight="1" x14ac:dyDescent="0.15">
      <c r="A684" s="46"/>
      <c r="B684" s="79" t="s">
        <v>34</v>
      </c>
      <c r="C684" s="18" t="s">
        <v>1956</v>
      </c>
      <c r="D684" s="155"/>
      <c r="E684" s="18" t="s">
        <v>1957</v>
      </c>
      <c r="F684" s="155" t="str">
        <f>IF(wskakunin_kanri7_JIMU_SIKAKU__label="","",wskakunin_kanri7_JIMU_SIKAKU__label)</f>
        <v/>
      </c>
      <c r="H684" s="19"/>
    </row>
    <row r="685" spans="1:8" ht="15" customHeight="1" x14ac:dyDescent="0.15">
      <c r="A685" s="46"/>
      <c r="B685" s="79" t="s">
        <v>543</v>
      </c>
      <c r="C685" s="18" t="s">
        <v>1958</v>
      </c>
      <c r="D685" s="155"/>
      <c r="E685" s="18" t="s">
        <v>1959</v>
      </c>
      <c r="F685" s="155" t="str">
        <f>IF(wskakunin_kanri7_JIMU_TOUROKU_KIKAN__label="","",wskakunin_kanri7_JIMU_TOUROKU_KIKAN__label)</f>
        <v/>
      </c>
      <c r="H685" s="19"/>
    </row>
    <row r="686" spans="1:8" ht="15" customHeight="1" x14ac:dyDescent="0.15">
      <c r="A686" s="46"/>
      <c r="B686" s="79" t="s">
        <v>544</v>
      </c>
      <c r="C686" s="18" t="s">
        <v>1960</v>
      </c>
      <c r="D686" s="241"/>
      <c r="E686" s="18" t="s">
        <v>1961</v>
      </c>
      <c r="F686" s="155" t="str">
        <f>IF(wskakunin_kanri7_JIMU_NO="","",wskakunin_kanri7_JIMU_NO)</f>
        <v/>
      </c>
      <c r="H686" s="19"/>
    </row>
    <row r="687" spans="1:8" ht="15" customHeight="1" x14ac:dyDescent="0.15">
      <c r="A687" s="62"/>
      <c r="B687" s="73" t="s">
        <v>35</v>
      </c>
      <c r="C687" s="18" t="s">
        <v>1962</v>
      </c>
      <c r="D687" s="155"/>
      <c r="E687" s="18" t="s">
        <v>1963</v>
      </c>
      <c r="F687" s="155" t="str">
        <f>IF(wskakunin_kanri7_JIMU_NAME="", "", wskakunin_kanri7_JIMU_NAME)</f>
        <v/>
      </c>
      <c r="H687" s="19"/>
    </row>
    <row r="688" spans="1:8" ht="15" customHeight="1" x14ac:dyDescent="0.15">
      <c r="A688" s="62"/>
      <c r="B688" s="73" t="s">
        <v>8</v>
      </c>
      <c r="C688" s="18" t="s">
        <v>1964</v>
      </c>
      <c r="D688" s="241"/>
      <c r="E688" s="18" t="s">
        <v>1965</v>
      </c>
      <c r="F688" s="155" t="str">
        <f>IF(wskakunin_kanri7_ZIP="", "", wskakunin_kanri7_ZIP)</f>
        <v/>
      </c>
      <c r="H688" s="19"/>
    </row>
    <row r="689" spans="1:8" ht="15" customHeight="1" x14ac:dyDescent="0.15">
      <c r="A689" s="62"/>
      <c r="B689" s="73" t="s">
        <v>11</v>
      </c>
      <c r="C689" s="18" t="s">
        <v>1966</v>
      </c>
      <c r="D689" s="155"/>
      <c r="E689" s="18" t="s">
        <v>1967</v>
      </c>
      <c r="F689" s="155" t="str">
        <f>IF(wskakunin_kanri7__address="", "", wskakunin_kanri7__address)</f>
        <v/>
      </c>
      <c r="H689" s="19"/>
    </row>
    <row r="690" spans="1:8" ht="15" customHeight="1" x14ac:dyDescent="0.15">
      <c r="A690" s="62"/>
      <c r="B690" s="73" t="s">
        <v>10</v>
      </c>
      <c r="C690" s="18" t="s">
        <v>1968</v>
      </c>
      <c r="D690" s="241"/>
      <c r="E690" s="18" t="s">
        <v>1969</v>
      </c>
      <c r="F690" s="155" t="str">
        <f>IF(wskakunin_kanri7_TEL="", "", wskakunin_kanri7_TEL)</f>
        <v/>
      </c>
      <c r="H690" s="19"/>
    </row>
    <row r="691" spans="1:8" ht="15" customHeight="1" x14ac:dyDescent="0.15">
      <c r="A691" s="62"/>
      <c r="B691" s="73" t="s">
        <v>579</v>
      </c>
      <c r="C691" s="18" t="s">
        <v>1970</v>
      </c>
      <c r="D691" s="241"/>
      <c r="E691" s="18" t="s">
        <v>1971</v>
      </c>
      <c r="F691" s="155" t="str">
        <f>IF(wskakunin_kanri7_DOC="","",wskakunin_kanri7_DOC)</f>
        <v/>
      </c>
      <c r="H691" s="19"/>
    </row>
    <row r="692" spans="1:8" ht="15" customHeight="1" x14ac:dyDescent="0.15">
      <c r="A692" s="46"/>
      <c r="B692" s="76"/>
      <c r="H692" s="19"/>
    </row>
    <row r="693" spans="1:8" ht="15" customHeight="1" x14ac:dyDescent="0.15">
      <c r="A693" s="47" t="s">
        <v>2087</v>
      </c>
      <c r="B693" s="46" t="s">
        <v>558</v>
      </c>
      <c r="H693" s="19"/>
    </row>
    <row r="694" spans="1:8" ht="15" customHeight="1" x14ac:dyDescent="0.15">
      <c r="A694" s="29"/>
      <c r="B694" s="73" t="s">
        <v>540</v>
      </c>
      <c r="C694" s="18" t="s">
        <v>1972</v>
      </c>
      <c r="D694" s="155"/>
      <c r="E694" s="18" t="s">
        <v>1973</v>
      </c>
      <c r="F694" s="155" t="str">
        <f>IF(wskakunin_kanri8__sikaku="", "", wskakunin_kanri8__sikaku)</f>
        <v/>
      </c>
      <c r="H694" s="19"/>
    </row>
    <row r="695" spans="1:8" ht="15" customHeight="1" x14ac:dyDescent="0.15">
      <c r="A695" s="29"/>
      <c r="B695" s="73" t="s">
        <v>541</v>
      </c>
      <c r="C695" s="18" t="s">
        <v>1974</v>
      </c>
      <c r="D695" s="155"/>
      <c r="E695" s="18" t="s">
        <v>1975</v>
      </c>
      <c r="F695" s="155" t="str">
        <f>IF(wskakunin_kanri8_SIKAKU__label="", "", wskakunin_kanri8_SIKAKU__label)</f>
        <v/>
      </c>
      <c r="H695" s="19"/>
    </row>
    <row r="696" spans="1:8" ht="15" customHeight="1" x14ac:dyDescent="0.15">
      <c r="A696" s="34"/>
      <c r="B696" s="79" t="s">
        <v>536</v>
      </c>
      <c r="C696" s="18" t="s">
        <v>1976</v>
      </c>
      <c r="D696" s="155"/>
      <c r="E696" s="18" t="s">
        <v>1977</v>
      </c>
      <c r="F696" s="155" t="str">
        <f>IF(wskakunin_kanri8_TOUROKU_KIKAN__label="","",wskakunin_kanri8_TOUROKU_KIKAN__label)</f>
        <v/>
      </c>
      <c r="H696" s="19"/>
    </row>
    <row r="697" spans="1:8" ht="15" customHeight="1" x14ac:dyDescent="0.15">
      <c r="A697" s="34"/>
      <c r="B697" s="79" t="s">
        <v>537</v>
      </c>
      <c r="C697" s="18" t="s">
        <v>1978</v>
      </c>
      <c r="D697" s="241"/>
      <c r="E697" s="18" t="s">
        <v>1979</v>
      </c>
      <c r="F697" s="155" t="str">
        <f>IF(wskakunin_kanri8_KENTIKUSI_NO="","",wskakunin_kanri8_KENTIKUSI_NO)</f>
        <v/>
      </c>
      <c r="H697" s="19"/>
    </row>
    <row r="698" spans="1:8" ht="15" customHeight="1" x14ac:dyDescent="0.15">
      <c r="A698" s="62"/>
      <c r="B698" s="73" t="s">
        <v>3</v>
      </c>
      <c r="C698" s="18" t="s">
        <v>1980</v>
      </c>
      <c r="D698" s="155"/>
      <c r="E698" s="18" t="s">
        <v>1981</v>
      </c>
      <c r="F698" s="155" t="str">
        <f>IF(wskakunin_kanri8_NAME="", "", wskakunin_kanri8_NAME)</f>
        <v/>
      </c>
      <c r="H698" s="19"/>
    </row>
    <row r="699" spans="1:8" ht="15" customHeight="1" x14ac:dyDescent="0.15">
      <c r="A699" s="62"/>
      <c r="B699" s="73" t="s">
        <v>542</v>
      </c>
      <c r="C699" s="18" t="s">
        <v>1982</v>
      </c>
      <c r="D699" s="155"/>
      <c r="E699" s="18" t="s">
        <v>1983</v>
      </c>
      <c r="F699" s="155" t="str">
        <f>IF(wskakunin_kanri8_JIMU__sikaku="", "", wskakunin_kanri8_JIMU__sikaku)</f>
        <v/>
      </c>
      <c r="H699" s="19"/>
    </row>
    <row r="700" spans="1:8" ht="15" customHeight="1" x14ac:dyDescent="0.15">
      <c r="A700" s="46"/>
      <c r="B700" s="79" t="s">
        <v>34</v>
      </c>
      <c r="C700" s="18" t="s">
        <v>1984</v>
      </c>
      <c r="D700" s="155"/>
      <c r="E700" s="18" t="s">
        <v>1985</v>
      </c>
      <c r="F700" s="155" t="str">
        <f>IF(wskakunin_kanri8_JIMU_SIKAKU__label="","",wskakunin_kanri8_JIMU_SIKAKU__label)</f>
        <v/>
      </c>
      <c r="H700" s="19"/>
    </row>
    <row r="701" spans="1:8" ht="15" customHeight="1" x14ac:dyDescent="0.15">
      <c r="A701" s="46"/>
      <c r="B701" s="79" t="s">
        <v>543</v>
      </c>
      <c r="C701" s="18" t="s">
        <v>1986</v>
      </c>
      <c r="D701" s="155"/>
      <c r="E701" s="18" t="s">
        <v>1987</v>
      </c>
      <c r="F701" s="155" t="str">
        <f>IF(wskakunin_kanri8_JIMU_TOUROKU_KIKAN__label="","",wskakunin_kanri8_JIMU_TOUROKU_KIKAN__label)</f>
        <v/>
      </c>
      <c r="H701" s="19"/>
    </row>
    <row r="702" spans="1:8" ht="15" customHeight="1" x14ac:dyDescent="0.15">
      <c r="A702" s="46"/>
      <c r="B702" s="79" t="s">
        <v>544</v>
      </c>
      <c r="C702" s="18" t="s">
        <v>1988</v>
      </c>
      <c r="D702" s="241"/>
      <c r="E702" s="18" t="s">
        <v>1989</v>
      </c>
      <c r="F702" s="155" t="str">
        <f>IF(wskakunin_kanri8_JIMU_NO="","",wskakunin_kanri8_JIMU_NO)</f>
        <v/>
      </c>
      <c r="H702" s="19"/>
    </row>
    <row r="703" spans="1:8" ht="15" customHeight="1" x14ac:dyDescent="0.15">
      <c r="A703" s="62"/>
      <c r="B703" s="73" t="s">
        <v>35</v>
      </c>
      <c r="C703" s="18" t="s">
        <v>1990</v>
      </c>
      <c r="D703" s="155"/>
      <c r="E703" s="18" t="s">
        <v>1991</v>
      </c>
      <c r="F703" s="155" t="str">
        <f>IF(wskakunin_kanri8_JIMU_NAME="", "", wskakunin_kanri8_JIMU_NAME)</f>
        <v/>
      </c>
      <c r="H703" s="19"/>
    </row>
    <row r="704" spans="1:8" ht="15" customHeight="1" x14ac:dyDescent="0.15">
      <c r="A704" s="62"/>
      <c r="B704" s="73" t="s">
        <v>8</v>
      </c>
      <c r="C704" s="18" t="s">
        <v>1992</v>
      </c>
      <c r="D704" s="241"/>
      <c r="E704" s="18" t="s">
        <v>1993</v>
      </c>
      <c r="F704" s="155" t="str">
        <f>IF(wskakunin_kanri8_ZIP="", "", wskakunin_kanri8_ZIP)</f>
        <v/>
      </c>
      <c r="H704" s="19"/>
    </row>
    <row r="705" spans="1:8" ht="15" customHeight="1" x14ac:dyDescent="0.15">
      <c r="A705" s="62"/>
      <c r="B705" s="73" t="s">
        <v>11</v>
      </c>
      <c r="C705" s="18" t="s">
        <v>1994</v>
      </c>
      <c r="D705" s="155"/>
      <c r="E705" s="18" t="s">
        <v>1995</v>
      </c>
      <c r="F705" s="155" t="str">
        <f>IF(wskakunin_kanri8__address="", "", wskakunin_kanri8__address)</f>
        <v/>
      </c>
      <c r="H705" s="19"/>
    </row>
    <row r="706" spans="1:8" ht="15" customHeight="1" x14ac:dyDescent="0.15">
      <c r="A706" s="62"/>
      <c r="B706" s="73" t="s">
        <v>10</v>
      </c>
      <c r="C706" s="18" t="s">
        <v>1996</v>
      </c>
      <c r="D706" s="241"/>
      <c r="E706" s="18" t="s">
        <v>1997</v>
      </c>
      <c r="F706" s="155" t="str">
        <f>IF(wskakunin_kanri8_TEL="", "", wskakunin_kanri8_TEL)</f>
        <v/>
      </c>
      <c r="H706" s="19"/>
    </row>
    <row r="707" spans="1:8" ht="15" customHeight="1" x14ac:dyDescent="0.15">
      <c r="A707" s="62"/>
      <c r="B707" s="73" t="s">
        <v>579</v>
      </c>
      <c r="C707" s="18" t="s">
        <v>1998</v>
      </c>
      <c r="D707" s="241"/>
      <c r="E707" s="18" t="s">
        <v>1999</v>
      </c>
      <c r="F707" s="155" t="str">
        <f>IF(wskakunin_kanri8_DOC="","",wskakunin_kanri8_DOC)</f>
        <v/>
      </c>
      <c r="H707" s="19"/>
    </row>
    <row r="708" spans="1:8" ht="15" customHeight="1" x14ac:dyDescent="0.15">
      <c r="A708" s="46"/>
      <c r="B708" s="76"/>
      <c r="H708" s="19"/>
    </row>
    <row r="709" spans="1:8" ht="15" customHeight="1" x14ac:dyDescent="0.15">
      <c r="A709" s="47" t="s">
        <v>2088</v>
      </c>
      <c r="B709" s="46" t="s">
        <v>558</v>
      </c>
      <c r="H709" s="19"/>
    </row>
    <row r="710" spans="1:8" ht="15" customHeight="1" x14ac:dyDescent="0.15">
      <c r="A710" s="29"/>
      <c r="B710" s="73" t="s">
        <v>540</v>
      </c>
      <c r="C710" s="18" t="s">
        <v>2000</v>
      </c>
      <c r="D710" s="155"/>
      <c r="E710" s="18" t="s">
        <v>2001</v>
      </c>
      <c r="F710" s="155" t="str">
        <f>IF(wskakunin_kanri9__sikaku="", "", wskakunin_kanri9__sikaku)</f>
        <v/>
      </c>
      <c r="H710" s="19"/>
    </row>
    <row r="711" spans="1:8" ht="15" customHeight="1" x14ac:dyDescent="0.15">
      <c r="A711" s="29"/>
      <c r="B711" s="73" t="s">
        <v>541</v>
      </c>
      <c r="C711" s="18" t="s">
        <v>2002</v>
      </c>
      <c r="D711" s="155"/>
      <c r="E711" s="18" t="s">
        <v>2003</v>
      </c>
      <c r="F711" s="155" t="str">
        <f>IF(wskakunin_kanri9_SIKAKU__label="", "", wskakunin_kanri9_SIKAKU__label)</f>
        <v/>
      </c>
      <c r="H711" s="19"/>
    </row>
    <row r="712" spans="1:8" ht="15" customHeight="1" x14ac:dyDescent="0.15">
      <c r="A712" s="34"/>
      <c r="B712" s="79" t="s">
        <v>536</v>
      </c>
      <c r="C712" s="18" t="s">
        <v>2004</v>
      </c>
      <c r="D712" s="155"/>
      <c r="E712" s="18" t="s">
        <v>2005</v>
      </c>
      <c r="F712" s="155" t="str">
        <f>IF(wskakunin_kanri9_TOUROKU_KIKAN__label="","",wskakunin_kanri9_TOUROKU_KIKAN__label)</f>
        <v/>
      </c>
      <c r="H712" s="19"/>
    </row>
    <row r="713" spans="1:8" ht="15" customHeight="1" x14ac:dyDescent="0.15">
      <c r="A713" s="34"/>
      <c r="B713" s="79" t="s">
        <v>537</v>
      </c>
      <c r="C713" s="18" t="s">
        <v>2006</v>
      </c>
      <c r="D713" s="241"/>
      <c r="E713" s="18" t="s">
        <v>2007</v>
      </c>
      <c r="F713" s="155" t="str">
        <f>IF(wskakunin_kanri9_KENTIKUSI_NO="","",wskakunin_kanri9_KENTIKUSI_NO)</f>
        <v/>
      </c>
      <c r="H713" s="19"/>
    </row>
    <row r="714" spans="1:8" ht="15" customHeight="1" x14ac:dyDescent="0.15">
      <c r="A714" s="62"/>
      <c r="B714" s="73" t="s">
        <v>3</v>
      </c>
      <c r="C714" s="18" t="s">
        <v>2008</v>
      </c>
      <c r="D714" s="155"/>
      <c r="E714" s="18" t="s">
        <v>2009</v>
      </c>
      <c r="F714" s="155" t="str">
        <f>IF(wskakunin_kanri9_NAME="", "", wskakunin_kanri9_NAME)</f>
        <v/>
      </c>
      <c r="H714" s="19"/>
    </row>
    <row r="715" spans="1:8" ht="15" customHeight="1" x14ac:dyDescent="0.15">
      <c r="A715" s="62"/>
      <c r="B715" s="73" t="s">
        <v>542</v>
      </c>
      <c r="C715" s="18" t="s">
        <v>2010</v>
      </c>
      <c r="D715" s="155"/>
      <c r="E715" s="18" t="s">
        <v>2011</v>
      </c>
      <c r="F715" s="155" t="str">
        <f>IF(wskakunin_kanri9_JIMU__sikaku="", "", wskakunin_kanri9_JIMU__sikaku)</f>
        <v/>
      </c>
      <c r="H715" s="19"/>
    </row>
    <row r="716" spans="1:8" ht="15" customHeight="1" x14ac:dyDescent="0.15">
      <c r="A716" s="46"/>
      <c r="B716" s="79" t="s">
        <v>34</v>
      </c>
      <c r="C716" s="18" t="s">
        <v>2012</v>
      </c>
      <c r="D716" s="155"/>
      <c r="E716" s="18" t="s">
        <v>2013</v>
      </c>
      <c r="F716" s="155" t="str">
        <f>IF(wskakunin_kanri9_JIMU_SIKAKU__label="","",wskakunin_kanri9_JIMU_SIKAKU__label)</f>
        <v/>
      </c>
      <c r="H716" s="19"/>
    </row>
    <row r="717" spans="1:8" ht="15" customHeight="1" x14ac:dyDescent="0.15">
      <c r="A717" s="46"/>
      <c r="B717" s="79" t="s">
        <v>543</v>
      </c>
      <c r="C717" s="18" t="s">
        <v>2014</v>
      </c>
      <c r="D717" s="155"/>
      <c r="E717" s="18" t="s">
        <v>2015</v>
      </c>
      <c r="F717" s="155" t="str">
        <f>IF(wskakunin_kanri9_JIMU_TOUROKU_KIKAN__label="","",wskakunin_kanri9_JIMU_TOUROKU_KIKAN__label)</f>
        <v/>
      </c>
      <c r="H717" s="19"/>
    </row>
    <row r="718" spans="1:8" ht="15" customHeight="1" x14ac:dyDescent="0.15">
      <c r="A718" s="46"/>
      <c r="B718" s="79" t="s">
        <v>544</v>
      </c>
      <c r="C718" s="18" t="s">
        <v>2016</v>
      </c>
      <c r="D718" s="241"/>
      <c r="E718" s="18" t="s">
        <v>2017</v>
      </c>
      <c r="F718" s="155" t="str">
        <f>IF(wskakunin_kanri9_JIMU_NO="","",wskakunin_kanri9_JIMU_NO)</f>
        <v/>
      </c>
      <c r="H718" s="19"/>
    </row>
    <row r="719" spans="1:8" ht="15" customHeight="1" x14ac:dyDescent="0.15">
      <c r="A719" s="62"/>
      <c r="B719" s="73" t="s">
        <v>35</v>
      </c>
      <c r="C719" s="18" t="s">
        <v>2018</v>
      </c>
      <c r="D719" s="155"/>
      <c r="E719" s="18" t="s">
        <v>2019</v>
      </c>
      <c r="F719" s="155" t="str">
        <f>IF(wskakunin_kanri9_JIMU_NAME="", "", wskakunin_kanri9_JIMU_NAME)</f>
        <v/>
      </c>
      <c r="H719" s="19"/>
    </row>
    <row r="720" spans="1:8" ht="15" customHeight="1" x14ac:dyDescent="0.15">
      <c r="A720" s="62"/>
      <c r="B720" s="73" t="s">
        <v>8</v>
      </c>
      <c r="C720" s="18" t="s">
        <v>2020</v>
      </c>
      <c r="D720" s="241"/>
      <c r="E720" s="18" t="s">
        <v>2021</v>
      </c>
      <c r="F720" s="155" t="str">
        <f>IF(wskakunin_kanri9_ZIP="", "", wskakunin_kanri9_ZIP)</f>
        <v/>
      </c>
      <c r="H720" s="19"/>
    </row>
    <row r="721" spans="1:8" ht="15" customHeight="1" x14ac:dyDescent="0.15">
      <c r="A721" s="62"/>
      <c r="B721" s="73" t="s">
        <v>11</v>
      </c>
      <c r="C721" s="18" t="s">
        <v>2022</v>
      </c>
      <c r="D721" s="155"/>
      <c r="E721" s="18" t="s">
        <v>2023</v>
      </c>
      <c r="F721" s="155" t="str">
        <f>IF(wskakunin_kanri9__address="", "", wskakunin_kanri9__address)</f>
        <v/>
      </c>
      <c r="H721" s="19"/>
    </row>
    <row r="722" spans="1:8" ht="15" customHeight="1" x14ac:dyDescent="0.15">
      <c r="A722" s="62"/>
      <c r="B722" s="73" t="s">
        <v>10</v>
      </c>
      <c r="C722" s="18" t="s">
        <v>2024</v>
      </c>
      <c r="D722" s="241"/>
      <c r="E722" s="18" t="s">
        <v>2025</v>
      </c>
      <c r="F722" s="155" t="str">
        <f>IF(wskakunin_kanri9_TEL="", "", wskakunin_kanri9_TEL)</f>
        <v/>
      </c>
      <c r="H722" s="19"/>
    </row>
    <row r="723" spans="1:8" ht="15" customHeight="1" x14ac:dyDescent="0.15">
      <c r="A723" s="62"/>
      <c r="B723" s="73" t="s">
        <v>579</v>
      </c>
      <c r="C723" s="18" t="s">
        <v>2026</v>
      </c>
      <c r="D723" s="241"/>
      <c r="E723" s="18" t="s">
        <v>2027</v>
      </c>
      <c r="F723" s="155" t="str">
        <f>IF(wskakunin_kanri9_DOC="","",wskakunin_kanri9_DOC)</f>
        <v/>
      </c>
      <c r="H723" s="19"/>
    </row>
    <row r="724" spans="1:8" ht="15" customHeight="1" x14ac:dyDescent="0.15">
      <c r="A724" s="46"/>
      <c r="B724" s="76"/>
      <c r="H724" s="19"/>
    </row>
    <row r="725" spans="1:8" ht="15" customHeight="1" x14ac:dyDescent="0.15">
      <c r="A725" s="47" t="s">
        <v>2089</v>
      </c>
      <c r="B725" s="46" t="s">
        <v>558</v>
      </c>
      <c r="H725" s="19"/>
    </row>
    <row r="726" spans="1:8" ht="15" customHeight="1" x14ac:dyDescent="0.15">
      <c r="A726" s="29"/>
      <c r="B726" s="73" t="s">
        <v>540</v>
      </c>
      <c r="C726" s="18" t="s">
        <v>2028</v>
      </c>
      <c r="D726" s="155"/>
      <c r="E726" s="18" t="s">
        <v>2029</v>
      </c>
      <c r="F726" s="155" t="str">
        <f>IF(wskakunin_kanri10__sikaku="", "", wskakunin_kanri10__sikaku)</f>
        <v/>
      </c>
      <c r="H726" s="19"/>
    </row>
    <row r="727" spans="1:8" ht="15" customHeight="1" x14ac:dyDescent="0.15">
      <c r="A727" s="29"/>
      <c r="B727" s="73" t="s">
        <v>541</v>
      </c>
      <c r="C727" s="18" t="s">
        <v>2030</v>
      </c>
      <c r="D727" s="155"/>
      <c r="E727" s="18" t="s">
        <v>2031</v>
      </c>
      <c r="F727" s="155" t="str">
        <f>IF(wskakunin_kanri10_SIKAKU__label="", "", wskakunin_kanri10_SIKAKU__label)</f>
        <v/>
      </c>
      <c r="H727" s="19"/>
    </row>
    <row r="728" spans="1:8" ht="15" customHeight="1" x14ac:dyDescent="0.15">
      <c r="A728" s="34"/>
      <c r="B728" s="79" t="s">
        <v>536</v>
      </c>
      <c r="C728" s="18" t="s">
        <v>2032</v>
      </c>
      <c r="D728" s="155"/>
      <c r="E728" s="18" t="s">
        <v>2033</v>
      </c>
      <c r="F728" s="155" t="str">
        <f>IF(wskakunin_kanri10_TOUROKU_KIKAN__label="","",wskakunin_kanri10_TOUROKU_KIKAN__label)</f>
        <v/>
      </c>
      <c r="H728" s="19"/>
    </row>
    <row r="729" spans="1:8" ht="15" customHeight="1" x14ac:dyDescent="0.15">
      <c r="A729" s="34"/>
      <c r="B729" s="79" t="s">
        <v>537</v>
      </c>
      <c r="C729" s="18" t="s">
        <v>2034</v>
      </c>
      <c r="D729" s="241"/>
      <c r="E729" s="18" t="s">
        <v>2035</v>
      </c>
      <c r="F729" s="155" t="str">
        <f>IF(wskakunin_kanri10_KENTIKUSI_NO="","",wskakunin_kanri10_KENTIKUSI_NO)</f>
        <v/>
      </c>
      <c r="H729" s="19"/>
    </row>
    <row r="730" spans="1:8" ht="15" customHeight="1" x14ac:dyDescent="0.15">
      <c r="A730" s="62"/>
      <c r="B730" s="73" t="s">
        <v>3</v>
      </c>
      <c r="C730" s="18" t="s">
        <v>2036</v>
      </c>
      <c r="D730" s="155"/>
      <c r="E730" s="18" t="s">
        <v>2037</v>
      </c>
      <c r="F730" s="155" t="str">
        <f>IF(wskakunin_kanri10_NAME="", "", wskakunin_kanri10_NAME)</f>
        <v/>
      </c>
      <c r="H730" s="19"/>
    </row>
    <row r="731" spans="1:8" ht="15" customHeight="1" x14ac:dyDescent="0.15">
      <c r="A731" s="62"/>
      <c r="B731" s="73" t="s">
        <v>542</v>
      </c>
      <c r="C731" s="18" t="s">
        <v>2038</v>
      </c>
      <c r="D731" s="155"/>
      <c r="E731" s="18" t="s">
        <v>2039</v>
      </c>
      <c r="F731" s="155" t="str">
        <f>IF(wskakunin_kanri10_JIMU__sikaku="", "", wskakunin_kanri10_JIMU__sikaku)</f>
        <v/>
      </c>
      <c r="H731" s="19"/>
    </row>
    <row r="732" spans="1:8" ht="15" customHeight="1" x14ac:dyDescent="0.15">
      <c r="A732" s="46"/>
      <c r="B732" s="79" t="s">
        <v>34</v>
      </c>
      <c r="C732" s="18" t="s">
        <v>2040</v>
      </c>
      <c r="D732" s="155"/>
      <c r="E732" s="18" t="s">
        <v>2041</v>
      </c>
      <c r="F732" s="155" t="str">
        <f>IF(wskakunin_kanri10_JIMU_SIKAKU__label="","",wskakunin_kanri10_JIMU_SIKAKU__label)</f>
        <v/>
      </c>
      <c r="H732" s="19"/>
    </row>
    <row r="733" spans="1:8" ht="15" customHeight="1" x14ac:dyDescent="0.15">
      <c r="A733" s="46"/>
      <c r="B733" s="79" t="s">
        <v>543</v>
      </c>
      <c r="C733" s="18" t="s">
        <v>2042</v>
      </c>
      <c r="D733" s="155"/>
      <c r="E733" s="18" t="s">
        <v>2043</v>
      </c>
      <c r="F733" s="155" t="str">
        <f>IF(wskakunin_kanri10_JIMU_TOUROKU_KIKAN__label="","",wskakunin_kanri10_JIMU_TOUROKU_KIKAN__label)</f>
        <v/>
      </c>
      <c r="H733" s="19"/>
    </row>
    <row r="734" spans="1:8" ht="15" customHeight="1" x14ac:dyDescent="0.15">
      <c r="A734" s="46"/>
      <c r="B734" s="79" t="s">
        <v>544</v>
      </c>
      <c r="C734" s="18" t="s">
        <v>2044</v>
      </c>
      <c r="D734" s="241"/>
      <c r="E734" s="18" t="s">
        <v>2045</v>
      </c>
      <c r="F734" s="155" t="str">
        <f>IF(wskakunin_kanri10_JIMU_NO="","",wskakunin_kanri10_JIMU_NO)</f>
        <v/>
      </c>
      <c r="H734" s="19"/>
    </row>
    <row r="735" spans="1:8" ht="15" customHeight="1" x14ac:dyDescent="0.15">
      <c r="A735" s="62"/>
      <c r="B735" s="73" t="s">
        <v>35</v>
      </c>
      <c r="C735" s="18" t="s">
        <v>2046</v>
      </c>
      <c r="D735" s="155"/>
      <c r="E735" s="18" t="s">
        <v>2047</v>
      </c>
      <c r="F735" s="155" t="str">
        <f>IF(wskakunin_kanri10_JIMU_NAME="", "", wskakunin_kanri10_JIMU_NAME)</f>
        <v/>
      </c>
      <c r="H735" s="19"/>
    </row>
    <row r="736" spans="1:8" ht="15" customHeight="1" x14ac:dyDescent="0.15">
      <c r="A736" s="62"/>
      <c r="B736" s="73" t="s">
        <v>8</v>
      </c>
      <c r="C736" s="18" t="s">
        <v>2048</v>
      </c>
      <c r="D736" s="241"/>
      <c r="E736" s="18" t="s">
        <v>2049</v>
      </c>
      <c r="F736" s="155" t="str">
        <f>IF(wskakunin_kanri10_ZIP="", "", wskakunin_kanri10_ZIP)</f>
        <v/>
      </c>
      <c r="H736" s="19"/>
    </row>
    <row r="737" spans="1:8" ht="15" customHeight="1" x14ac:dyDescent="0.15">
      <c r="A737" s="62"/>
      <c r="B737" s="73" t="s">
        <v>11</v>
      </c>
      <c r="C737" s="18" t="s">
        <v>2050</v>
      </c>
      <c r="D737" s="155"/>
      <c r="E737" s="18" t="s">
        <v>2051</v>
      </c>
      <c r="F737" s="155" t="str">
        <f>IF(wskakunin_kanri10__address="", "", wskakunin_kanri10__address)</f>
        <v/>
      </c>
      <c r="H737" s="19"/>
    </row>
    <row r="738" spans="1:8" ht="15" customHeight="1" x14ac:dyDescent="0.15">
      <c r="A738" s="62"/>
      <c r="B738" s="73" t="s">
        <v>10</v>
      </c>
      <c r="C738" s="18" t="s">
        <v>2052</v>
      </c>
      <c r="D738" s="241"/>
      <c r="E738" s="18" t="s">
        <v>2053</v>
      </c>
      <c r="F738" s="155" t="str">
        <f>IF(wskakunin_kanri10_TEL="", "", wskakunin_kanri10_TEL)</f>
        <v/>
      </c>
      <c r="H738" s="19"/>
    </row>
    <row r="739" spans="1:8" ht="15" customHeight="1" x14ac:dyDescent="0.15">
      <c r="A739" s="62"/>
      <c r="B739" s="73" t="s">
        <v>579</v>
      </c>
      <c r="C739" s="18" t="s">
        <v>2054</v>
      </c>
      <c r="D739" s="241"/>
      <c r="E739" s="18" t="s">
        <v>2055</v>
      </c>
      <c r="F739" s="155" t="str">
        <f>IF(wskakunin_kanri10_DOC="","",wskakunin_kanri10_DOC)</f>
        <v/>
      </c>
      <c r="H739" s="19"/>
    </row>
    <row r="740" spans="1:8" ht="15" customHeight="1" x14ac:dyDescent="0.15">
      <c r="A740" s="46"/>
      <c r="B740" s="76"/>
      <c r="H740" s="19"/>
    </row>
    <row r="741" spans="1:8" ht="15" customHeight="1" x14ac:dyDescent="0.15">
      <c r="A741" s="47" t="s">
        <v>2090</v>
      </c>
      <c r="B741" s="46" t="s">
        <v>558</v>
      </c>
      <c r="H741" s="19"/>
    </row>
    <row r="742" spans="1:8" ht="15" customHeight="1" x14ac:dyDescent="0.15">
      <c r="A742" s="29"/>
      <c r="B742" s="73" t="s">
        <v>540</v>
      </c>
      <c r="C742" s="18" t="s">
        <v>2056</v>
      </c>
      <c r="D742" s="155"/>
      <c r="E742" s="18" t="s">
        <v>2057</v>
      </c>
      <c r="F742" s="155" t="str">
        <f>IF(wskakunin_kanri11__sikaku="", "", wskakunin_kanri11__sikaku)</f>
        <v/>
      </c>
      <c r="H742" s="19"/>
    </row>
    <row r="743" spans="1:8" ht="15" customHeight="1" x14ac:dyDescent="0.15">
      <c r="A743" s="29"/>
      <c r="B743" s="73" t="s">
        <v>541</v>
      </c>
      <c r="C743" s="18" t="s">
        <v>2058</v>
      </c>
      <c r="D743" s="155"/>
      <c r="E743" s="18" t="s">
        <v>2059</v>
      </c>
      <c r="F743" s="155" t="str">
        <f>IF(wskakunin_kanri11_SIKAKU__label="", "", wskakunin_kanri11_SIKAKU__label)</f>
        <v/>
      </c>
      <c r="H743" s="19"/>
    </row>
    <row r="744" spans="1:8" ht="15" customHeight="1" x14ac:dyDescent="0.15">
      <c r="A744" s="34"/>
      <c r="B744" s="79" t="s">
        <v>536</v>
      </c>
      <c r="C744" s="18" t="s">
        <v>2060</v>
      </c>
      <c r="D744" s="155"/>
      <c r="E744" s="18" t="s">
        <v>2061</v>
      </c>
      <c r="F744" s="155" t="str">
        <f>IF(wskakunin_kanri11_TOUROKU_KIKAN__label="","",wskakunin_kanri11_TOUROKU_KIKAN__label)</f>
        <v/>
      </c>
      <c r="H744" s="19"/>
    </row>
    <row r="745" spans="1:8" ht="15" customHeight="1" x14ac:dyDescent="0.15">
      <c r="A745" s="34"/>
      <c r="B745" s="79" t="s">
        <v>537</v>
      </c>
      <c r="C745" s="18" t="s">
        <v>2062</v>
      </c>
      <c r="D745" s="241"/>
      <c r="E745" s="18" t="s">
        <v>2063</v>
      </c>
      <c r="F745" s="155" t="str">
        <f>IF(wskakunin_kanri11_KENTIKUSI_NO="","",wskakunin_kanri11_KENTIKUSI_NO)</f>
        <v/>
      </c>
      <c r="H745" s="19"/>
    </row>
    <row r="746" spans="1:8" ht="15" customHeight="1" x14ac:dyDescent="0.15">
      <c r="A746" s="62"/>
      <c r="B746" s="73" t="s">
        <v>3</v>
      </c>
      <c r="C746" s="18" t="s">
        <v>2064</v>
      </c>
      <c r="D746" s="155"/>
      <c r="E746" s="18" t="s">
        <v>2065</v>
      </c>
      <c r="F746" s="155" t="str">
        <f>IF(wskakunin_kanri11_NAME="", "", wskakunin_kanri11_NAME)</f>
        <v/>
      </c>
      <c r="H746" s="19"/>
    </row>
    <row r="747" spans="1:8" ht="15" customHeight="1" x14ac:dyDescent="0.15">
      <c r="A747" s="62"/>
      <c r="B747" s="73" t="s">
        <v>542</v>
      </c>
      <c r="C747" s="18" t="s">
        <v>2066</v>
      </c>
      <c r="D747" s="155"/>
      <c r="E747" s="18" t="s">
        <v>2067</v>
      </c>
      <c r="F747" s="155" t="str">
        <f>IF(wskakunin_kanri11_JIMU__sikaku="", "", wskakunin_kanri11_JIMU__sikaku)</f>
        <v/>
      </c>
      <c r="H747" s="19"/>
    </row>
    <row r="748" spans="1:8" ht="15" customHeight="1" x14ac:dyDescent="0.15">
      <c r="A748" s="46"/>
      <c r="B748" s="79" t="s">
        <v>34</v>
      </c>
      <c r="C748" s="18" t="s">
        <v>2068</v>
      </c>
      <c r="D748" s="155"/>
      <c r="E748" s="18" t="s">
        <v>2069</v>
      </c>
      <c r="F748" s="155" t="str">
        <f>IF(wskakunin_kanri11_JIMU_SIKAKU__label="","",wskakunin_kanri11_JIMU_SIKAKU__label)</f>
        <v/>
      </c>
      <c r="H748" s="19"/>
    </row>
    <row r="749" spans="1:8" ht="15" customHeight="1" x14ac:dyDescent="0.15">
      <c r="A749" s="46"/>
      <c r="B749" s="79" t="s">
        <v>543</v>
      </c>
      <c r="C749" s="18" t="s">
        <v>2070</v>
      </c>
      <c r="D749" s="155"/>
      <c r="E749" s="18" t="s">
        <v>2071</v>
      </c>
      <c r="F749" s="155" t="str">
        <f>IF(wskakunin_kanri11_JIMU_TOUROKU_KIKAN__label="","",wskakunin_kanri11_JIMU_TOUROKU_KIKAN__label)</f>
        <v/>
      </c>
      <c r="H749" s="19"/>
    </row>
    <row r="750" spans="1:8" ht="15" customHeight="1" x14ac:dyDescent="0.15">
      <c r="A750" s="46"/>
      <c r="B750" s="79" t="s">
        <v>544</v>
      </c>
      <c r="C750" s="18" t="s">
        <v>2072</v>
      </c>
      <c r="D750" s="241"/>
      <c r="E750" s="18" t="s">
        <v>2073</v>
      </c>
      <c r="F750" s="155" t="str">
        <f>IF(wskakunin_kanri11_JIMU_NO="","",wskakunin_kanri11_JIMU_NO)</f>
        <v/>
      </c>
      <c r="H750" s="19"/>
    </row>
    <row r="751" spans="1:8" ht="15" customHeight="1" x14ac:dyDescent="0.15">
      <c r="A751" s="62"/>
      <c r="B751" s="73" t="s">
        <v>35</v>
      </c>
      <c r="C751" s="18" t="s">
        <v>2074</v>
      </c>
      <c r="D751" s="155"/>
      <c r="E751" s="18" t="s">
        <v>2075</v>
      </c>
      <c r="F751" s="155" t="str">
        <f>IF(wskakunin_kanri11_JIMU_NAME="", "", wskakunin_kanri11_JIMU_NAME)</f>
        <v/>
      </c>
      <c r="H751" s="19"/>
    </row>
    <row r="752" spans="1:8" ht="15" customHeight="1" x14ac:dyDescent="0.15">
      <c r="A752" s="62"/>
      <c r="B752" s="73" t="s">
        <v>8</v>
      </c>
      <c r="C752" s="18" t="s">
        <v>2076</v>
      </c>
      <c r="D752" s="241"/>
      <c r="E752" s="18" t="s">
        <v>2077</v>
      </c>
      <c r="F752" s="155" t="str">
        <f>IF(wskakunin_kanri11_ZIP="", "", wskakunin_kanri11_ZIP)</f>
        <v/>
      </c>
      <c r="H752" s="19"/>
    </row>
    <row r="753" spans="1:8" ht="15" customHeight="1" x14ac:dyDescent="0.15">
      <c r="A753" s="62"/>
      <c r="B753" s="73" t="s">
        <v>11</v>
      </c>
      <c r="C753" s="18" t="s">
        <v>2078</v>
      </c>
      <c r="D753" s="155"/>
      <c r="E753" s="18" t="s">
        <v>2079</v>
      </c>
      <c r="F753" s="155" t="str">
        <f>IF(wskakunin_kanri11__address="", "", wskakunin_kanri11__address)</f>
        <v/>
      </c>
      <c r="H753" s="19"/>
    </row>
    <row r="754" spans="1:8" ht="15" customHeight="1" x14ac:dyDescent="0.15">
      <c r="A754" s="62"/>
      <c r="B754" s="73" t="s">
        <v>10</v>
      </c>
      <c r="C754" s="18" t="s">
        <v>2080</v>
      </c>
      <c r="D754" s="241"/>
      <c r="E754" s="18" t="s">
        <v>2081</v>
      </c>
      <c r="F754" s="155" t="str">
        <f>IF(wskakunin_kanri11_TEL="", "", wskakunin_kanri11_TEL)</f>
        <v/>
      </c>
      <c r="H754" s="19"/>
    </row>
    <row r="755" spans="1:8" ht="15" customHeight="1" x14ac:dyDescent="0.15">
      <c r="A755" s="62"/>
      <c r="B755" s="73" t="s">
        <v>579</v>
      </c>
      <c r="C755" s="18" t="s">
        <v>2082</v>
      </c>
      <c r="D755" s="241"/>
      <c r="E755" s="18" t="s">
        <v>2083</v>
      </c>
      <c r="F755" s="155" t="str">
        <f>IF(wskakunin_kanri11_DOC="","",wskakunin_kanri11_DOC)</f>
        <v/>
      </c>
      <c r="H755" s="19"/>
    </row>
    <row r="756" spans="1:8" ht="15" customHeight="1" x14ac:dyDescent="0.15">
      <c r="A756" s="46"/>
      <c r="B756" s="76"/>
      <c r="G756" s="19"/>
      <c r="H756" s="19"/>
    </row>
    <row r="757" spans="1:8" ht="15" customHeight="1" x14ac:dyDescent="0.15">
      <c r="A757" s="47" t="s">
        <v>2209</v>
      </c>
      <c r="B757" s="46" t="s">
        <v>558</v>
      </c>
      <c r="H757" s="19"/>
    </row>
    <row r="758" spans="1:8" ht="15" customHeight="1" x14ac:dyDescent="0.15">
      <c r="A758" s="29"/>
      <c r="B758" s="73" t="s">
        <v>540</v>
      </c>
      <c r="C758" s="18" t="s">
        <v>2210</v>
      </c>
      <c r="D758" s="155"/>
      <c r="E758" s="18" t="s">
        <v>2211</v>
      </c>
      <c r="F758" s="155" t="str">
        <f>IF(wskakunin_kanri12__sikaku="", "", wskakunin_kanri12__sikaku)</f>
        <v/>
      </c>
      <c r="H758" s="19"/>
    </row>
    <row r="759" spans="1:8" ht="15" customHeight="1" x14ac:dyDescent="0.15">
      <c r="A759" s="29"/>
      <c r="B759" s="73" t="s">
        <v>541</v>
      </c>
      <c r="C759" s="18" t="s">
        <v>2212</v>
      </c>
      <c r="D759" s="155"/>
      <c r="E759" s="18" t="s">
        <v>2213</v>
      </c>
      <c r="F759" s="155" t="str">
        <f>IF(wskakunin_kanri12_SIKAKU__label="", "", wskakunin_kanri12_SIKAKU__label)</f>
        <v/>
      </c>
      <c r="H759" s="19"/>
    </row>
    <row r="760" spans="1:8" ht="15" customHeight="1" x14ac:dyDescent="0.15">
      <c r="A760" s="34"/>
      <c r="B760" s="79" t="s">
        <v>536</v>
      </c>
      <c r="C760" s="18" t="s">
        <v>2214</v>
      </c>
      <c r="D760" s="155"/>
      <c r="E760" s="18" t="s">
        <v>2215</v>
      </c>
      <c r="F760" s="155" t="str">
        <f>IF(wskakunin_kanri12_TOUROKU_KIKAN__label="","",wskakunin_kanri12_TOUROKU_KIKAN__label)</f>
        <v/>
      </c>
      <c r="H760" s="19"/>
    </row>
    <row r="761" spans="1:8" ht="15" customHeight="1" x14ac:dyDescent="0.15">
      <c r="A761" s="34"/>
      <c r="B761" s="79" t="s">
        <v>537</v>
      </c>
      <c r="C761" s="18" t="s">
        <v>2216</v>
      </c>
      <c r="D761" s="241"/>
      <c r="E761" s="18" t="s">
        <v>2217</v>
      </c>
      <c r="F761" s="155" t="str">
        <f>IF(wskakunin_kanri12_KENTIKUSI_NO="","",wskakunin_kanri12_KENTIKUSI_NO)</f>
        <v/>
      </c>
      <c r="H761" s="19"/>
    </row>
    <row r="762" spans="1:8" ht="15" customHeight="1" x14ac:dyDescent="0.15">
      <c r="A762" s="62"/>
      <c r="B762" s="73" t="s">
        <v>3</v>
      </c>
      <c r="C762" s="18" t="s">
        <v>2218</v>
      </c>
      <c r="D762" s="155"/>
      <c r="E762" s="18" t="s">
        <v>2219</v>
      </c>
      <c r="F762" s="155" t="str">
        <f>IF(wskakunin_kanri12_NAME="", "", wskakunin_kanri12_NAME)</f>
        <v/>
      </c>
      <c r="H762" s="19"/>
    </row>
    <row r="763" spans="1:8" ht="15" customHeight="1" x14ac:dyDescent="0.15">
      <c r="A763" s="62"/>
      <c r="B763" s="73" t="s">
        <v>542</v>
      </c>
      <c r="C763" s="18" t="s">
        <v>2220</v>
      </c>
      <c r="D763" s="155"/>
      <c r="E763" s="18" t="s">
        <v>2221</v>
      </c>
      <c r="F763" s="155" t="str">
        <f>IF(wskakunin_kanri12_JIMU__sikaku="", "", wskakunin_kanri12_JIMU__sikaku)</f>
        <v/>
      </c>
      <c r="H763" s="19"/>
    </row>
    <row r="764" spans="1:8" ht="15" customHeight="1" x14ac:dyDescent="0.15">
      <c r="A764" s="46"/>
      <c r="B764" s="79" t="s">
        <v>34</v>
      </c>
      <c r="C764" s="18" t="s">
        <v>2222</v>
      </c>
      <c r="D764" s="155"/>
      <c r="E764" s="18" t="s">
        <v>2223</v>
      </c>
      <c r="F764" s="155" t="str">
        <f>IF(wskakunin_kanri12_JIMU_SIKAKU__label="","",wskakunin_kanri12_JIMU_SIKAKU__label)</f>
        <v/>
      </c>
      <c r="H764" s="19"/>
    </row>
    <row r="765" spans="1:8" ht="15" customHeight="1" x14ac:dyDescent="0.15">
      <c r="A765" s="46"/>
      <c r="B765" s="79" t="s">
        <v>543</v>
      </c>
      <c r="C765" s="18" t="s">
        <v>2224</v>
      </c>
      <c r="D765" s="155"/>
      <c r="E765" s="18" t="s">
        <v>2225</v>
      </c>
      <c r="F765" s="155" t="str">
        <f>IF(wskakunin_kanri12_JIMU_TOUROKU_KIKAN__label="","",wskakunin_kanri12_JIMU_TOUROKU_KIKAN__label)</f>
        <v/>
      </c>
      <c r="H765" s="19"/>
    </row>
    <row r="766" spans="1:8" ht="15" customHeight="1" x14ac:dyDescent="0.15">
      <c r="A766" s="46"/>
      <c r="B766" s="79" t="s">
        <v>544</v>
      </c>
      <c r="C766" s="18" t="s">
        <v>2226</v>
      </c>
      <c r="D766" s="241"/>
      <c r="E766" s="18" t="s">
        <v>2227</v>
      </c>
      <c r="F766" s="155" t="str">
        <f>IF(wskakunin_kanri12_JIMU_NO="","",wskakunin_kanri12_JIMU_NO)</f>
        <v/>
      </c>
      <c r="H766" s="19"/>
    </row>
    <row r="767" spans="1:8" ht="15" customHeight="1" x14ac:dyDescent="0.15">
      <c r="A767" s="62"/>
      <c r="B767" s="73" t="s">
        <v>35</v>
      </c>
      <c r="C767" s="18" t="s">
        <v>2228</v>
      </c>
      <c r="D767" s="155"/>
      <c r="E767" s="18" t="s">
        <v>2229</v>
      </c>
      <c r="F767" s="155" t="str">
        <f>IF(wskakunin_kanri12_JIMU_NAME="", "", wskakunin_kanri12_JIMU_NAME)</f>
        <v/>
      </c>
      <c r="H767" s="19"/>
    </row>
    <row r="768" spans="1:8" ht="15" customHeight="1" x14ac:dyDescent="0.15">
      <c r="A768" s="62"/>
      <c r="B768" s="73" t="s">
        <v>8</v>
      </c>
      <c r="C768" s="18" t="s">
        <v>2230</v>
      </c>
      <c r="D768" s="241"/>
      <c r="E768" s="18" t="s">
        <v>2231</v>
      </c>
      <c r="F768" s="155" t="str">
        <f>IF(wskakunin_kanri12_ZIP="", "", wskakunin_kanri12_ZIP)</f>
        <v/>
      </c>
      <c r="H768" s="19"/>
    </row>
    <row r="769" spans="1:8" ht="15" customHeight="1" x14ac:dyDescent="0.15">
      <c r="A769" s="62"/>
      <c r="B769" s="73" t="s">
        <v>11</v>
      </c>
      <c r="C769" s="18" t="s">
        <v>2232</v>
      </c>
      <c r="D769" s="155"/>
      <c r="E769" s="18" t="s">
        <v>2233</v>
      </c>
      <c r="F769" s="155" t="str">
        <f>IF(wskakunin_kanri12__address="", "", wskakunin_kanri12__address)</f>
        <v/>
      </c>
      <c r="H769" s="19"/>
    </row>
    <row r="770" spans="1:8" ht="15" customHeight="1" x14ac:dyDescent="0.15">
      <c r="A770" s="62"/>
      <c r="B770" s="73" t="s">
        <v>10</v>
      </c>
      <c r="C770" s="18" t="s">
        <v>2234</v>
      </c>
      <c r="D770" s="241"/>
      <c r="E770" s="18" t="s">
        <v>2235</v>
      </c>
      <c r="F770" s="155" t="str">
        <f>IF(wskakunin_kanri12_TEL="", "", wskakunin_kanri12_TEL)</f>
        <v/>
      </c>
      <c r="H770" s="19"/>
    </row>
    <row r="771" spans="1:8" ht="15" customHeight="1" x14ac:dyDescent="0.15">
      <c r="A771" s="62"/>
      <c r="B771" s="73" t="s">
        <v>579</v>
      </c>
      <c r="C771" s="18" t="s">
        <v>2236</v>
      </c>
      <c r="D771" s="241"/>
      <c r="E771" s="18" t="s">
        <v>2237</v>
      </c>
      <c r="F771" s="155" t="str">
        <f>IF(wskakunin_kanri12_DOC="","",wskakunin_kanri12_DOC)</f>
        <v/>
      </c>
      <c r="H771" s="19"/>
    </row>
    <row r="772" spans="1:8" ht="15" customHeight="1" x14ac:dyDescent="0.15">
      <c r="A772" s="46"/>
      <c r="B772" s="76"/>
      <c r="G772" s="19"/>
      <c r="H772" s="19"/>
    </row>
    <row r="773" spans="1:8" ht="15" customHeight="1" x14ac:dyDescent="0.15">
      <c r="A773" s="54" t="s">
        <v>48</v>
      </c>
      <c r="B773" s="55"/>
      <c r="D773" s="19"/>
      <c r="G773" s="19"/>
      <c r="H773" s="19"/>
    </row>
    <row r="774" spans="1:8" ht="15" customHeight="1" x14ac:dyDescent="0.15">
      <c r="A774" s="63"/>
      <c r="B774" s="78" t="s">
        <v>3</v>
      </c>
      <c r="C774" s="18" t="s">
        <v>858</v>
      </c>
      <c r="D774" s="247"/>
      <c r="E774" s="18" t="s">
        <v>859</v>
      </c>
      <c r="F774" s="247" t="str">
        <f>IF(wskakunin_sekou1_NAME="", "", wskakunin_sekou1_NAME)</f>
        <v/>
      </c>
      <c r="G774" s="19"/>
      <c r="H774" s="19"/>
    </row>
    <row r="775" spans="1:8" ht="15" customHeight="1" x14ac:dyDescent="0.15">
      <c r="A775" s="63"/>
      <c r="B775" s="78" t="s">
        <v>1384</v>
      </c>
      <c r="C775" s="18" t="s">
        <v>860</v>
      </c>
      <c r="D775" s="247"/>
      <c r="E775" s="18" t="s">
        <v>861</v>
      </c>
      <c r="F775" s="247" t="str">
        <f>IF(wskakunin_sekou1_SEKOU__sikaku="", "", wskakunin_sekou1_SEKOU__sikaku)</f>
        <v/>
      </c>
      <c r="G775" s="19"/>
      <c r="H775" s="19"/>
    </row>
    <row r="776" spans="1:8" ht="15" customHeight="1" x14ac:dyDescent="0.15">
      <c r="A776" s="63"/>
      <c r="B776" s="78" t="s">
        <v>592</v>
      </c>
      <c r="C776" s="18" t="s">
        <v>1387</v>
      </c>
      <c r="D776" s="247"/>
      <c r="E776" s="18" t="s">
        <v>1385</v>
      </c>
      <c r="F776" s="247" t="str">
        <f>IF(wskakunin_sekou1_SEKOU_SIKAKU__label="", "",wskakunin_sekou1_SEKOU_SIKAKU__label)</f>
        <v/>
      </c>
      <c r="G776" s="19"/>
      <c r="H776" s="19"/>
    </row>
    <row r="777" spans="1:8" ht="15" customHeight="1" x14ac:dyDescent="0.15">
      <c r="A777" s="63"/>
      <c r="B777" s="78" t="s">
        <v>593</v>
      </c>
      <c r="C777" s="18" t="s">
        <v>1383</v>
      </c>
      <c r="D777" s="249"/>
      <c r="E777" s="18" t="s">
        <v>1386</v>
      </c>
      <c r="F777" s="247" t="str">
        <f>IF(wskakunin_sekou1_SEKOU_NO="","",wskakunin_sekou1_SEKOU_NO)</f>
        <v/>
      </c>
      <c r="G777" s="19"/>
      <c r="H777" s="19"/>
    </row>
    <row r="778" spans="1:8" ht="15" customHeight="1" x14ac:dyDescent="0.15">
      <c r="A778" s="63"/>
      <c r="B778" s="78" t="s">
        <v>14</v>
      </c>
      <c r="C778" s="18" t="s">
        <v>862</v>
      </c>
      <c r="D778" s="247"/>
      <c r="E778" s="18" t="s">
        <v>863</v>
      </c>
      <c r="F778" s="247" t="str">
        <f>IF(wskakunin_sekou1_JIMU_NAME="", "", wskakunin_sekou1_JIMU_NAME)</f>
        <v/>
      </c>
      <c r="G778" s="19"/>
      <c r="H778" s="19"/>
    </row>
    <row r="779" spans="1:8" ht="15" customHeight="1" x14ac:dyDescent="0.15">
      <c r="A779" s="63"/>
      <c r="B779" s="78" t="s">
        <v>8</v>
      </c>
      <c r="C779" s="18" t="s">
        <v>864</v>
      </c>
      <c r="D779" s="249"/>
      <c r="E779" s="18" t="s">
        <v>865</v>
      </c>
      <c r="F779" s="247" t="str">
        <f>IF(wskakunin_sekou1_ZIP="", "", wskakunin_sekou1_ZIP)</f>
        <v/>
      </c>
      <c r="G779" s="19"/>
      <c r="H779" s="19"/>
    </row>
    <row r="780" spans="1:8" ht="15" customHeight="1" x14ac:dyDescent="0.15">
      <c r="A780" s="63"/>
      <c r="B780" s="78" t="s">
        <v>11</v>
      </c>
      <c r="C780" s="18" t="s">
        <v>866</v>
      </c>
      <c r="D780" s="247"/>
      <c r="E780" s="18" t="s">
        <v>867</v>
      </c>
      <c r="F780" s="247" t="str">
        <f>IF(wskakunin_sekou1__address="", "", wskakunin_sekou1__address)</f>
        <v/>
      </c>
      <c r="G780" s="19"/>
      <c r="H780" s="19"/>
    </row>
    <row r="781" spans="1:8" ht="15" customHeight="1" x14ac:dyDescent="0.15">
      <c r="A781" s="63"/>
      <c r="B781" s="78" t="s">
        <v>10</v>
      </c>
      <c r="C781" s="18" t="s">
        <v>868</v>
      </c>
      <c r="D781" s="249"/>
      <c r="E781" s="18" t="s">
        <v>869</v>
      </c>
      <c r="F781" s="247" t="str">
        <f>IF(wskakunin_sekou1_TEL="", "", wskakunin_sekou1_TEL)</f>
        <v/>
      </c>
      <c r="G781" s="19"/>
      <c r="H781" s="19"/>
    </row>
    <row r="782" spans="1:8" ht="15" customHeight="1" x14ac:dyDescent="0.15">
      <c r="A782" s="63"/>
      <c r="B782" s="78" t="s">
        <v>2555</v>
      </c>
      <c r="D782" s="36"/>
      <c r="E782" s="18" t="s">
        <v>2556</v>
      </c>
      <c r="F782" s="247">
        <f>IF(AND(cst_wskakunin_sekou1_NAME="",cst_wskakunin_sekou1_SEKOU__sikaku="",cst_wskakunin_sekou1_SEKOU_SIKAKU="",cst_wskakunin_sekou1_SEKOU_NO="",cst_wskakunin_sekou1_JIMU_NAME="",cst_wskakunin_sekou1_ZIP="",cst_wskakunin_sekou1__address="",cst_wskakunin_sekou1_TEL=""),1,2)</f>
        <v>1</v>
      </c>
      <c r="G782" s="19" t="s">
        <v>2557</v>
      </c>
      <c r="H782" s="19"/>
    </row>
    <row r="783" spans="1:8" ht="15" customHeight="1" x14ac:dyDescent="0.15">
      <c r="A783" s="54" t="s">
        <v>2171</v>
      </c>
      <c r="B783" s="55"/>
      <c r="D783" s="36"/>
      <c r="F783" s="19"/>
      <c r="G783" s="19"/>
      <c r="H783" s="19"/>
    </row>
    <row r="784" spans="1:8" ht="15" customHeight="1" x14ac:dyDescent="0.15">
      <c r="A784" s="63"/>
      <c r="B784" s="78" t="s">
        <v>3</v>
      </c>
      <c r="C784" s="18" t="s">
        <v>2091</v>
      </c>
      <c r="D784" s="247"/>
      <c r="E784" s="18" t="s">
        <v>2092</v>
      </c>
      <c r="F784" s="247" t="str">
        <f>IF(wskakunin_sekou2_NAME="", "", wskakunin_sekou2_NAME)</f>
        <v/>
      </c>
      <c r="H784" s="19"/>
    </row>
    <row r="785" spans="1:8" ht="15" customHeight="1" x14ac:dyDescent="0.15">
      <c r="A785" s="63"/>
      <c r="B785" s="78" t="s">
        <v>1384</v>
      </c>
      <c r="C785" s="18" t="s">
        <v>2093</v>
      </c>
      <c r="D785" s="247"/>
      <c r="E785" s="18" t="s">
        <v>2094</v>
      </c>
      <c r="F785" s="247" t="str">
        <f>IF(wskakunin_sekou2_SEKOU__sikaku="", "", wskakunin_sekou2_SEKOU__sikaku)</f>
        <v/>
      </c>
      <c r="H785" s="19"/>
    </row>
    <row r="786" spans="1:8" ht="15" customHeight="1" x14ac:dyDescent="0.15">
      <c r="A786" s="63"/>
      <c r="B786" s="78" t="s">
        <v>592</v>
      </c>
      <c r="C786" s="18" t="s">
        <v>2095</v>
      </c>
      <c r="D786" s="247"/>
      <c r="E786" s="18" t="s">
        <v>2096</v>
      </c>
      <c r="F786" s="247" t="str">
        <f>IF(wskakunin_sekou2_SEKOU_SIKAKU__label="", "",wskakunin_sekou2_SEKOU_SIKAKU__label)</f>
        <v/>
      </c>
      <c r="H786" s="19"/>
    </row>
    <row r="787" spans="1:8" ht="15" customHeight="1" x14ac:dyDescent="0.15">
      <c r="A787" s="63"/>
      <c r="B787" s="78" t="s">
        <v>593</v>
      </c>
      <c r="C787" s="18" t="s">
        <v>2097</v>
      </c>
      <c r="D787" s="249"/>
      <c r="E787" s="18" t="s">
        <v>2098</v>
      </c>
      <c r="F787" s="247" t="str">
        <f>IF(wskakunin_sekou2_SEKOU_NO="","",wskakunin_sekou2_SEKOU_NO)</f>
        <v/>
      </c>
      <c r="H787" s="19"/>
    </row>
    <row r="788" spans="1:8" ht="15" customHeight="1" x14ac:dyDescent="0.15">
      <c r="A788" s="63"/>
      <c r="B788" s="78" t="s">
        <v>14</v>
      </c>
      <c r="C788" s="18" t="s">
        <v>2099</v>
      </c>
      <c r="D788" s="247"/>
      <c r="E788" s="18" t="s">
        <v>2100</v>
      </c>
      <c r="F788" s="247" t="str">
        <f>IF(wskakunin_sekou2_JIMU_NAME="", "", wskakunin_sekou2_JIMU_NAME)</f>
        <v/>
      </c>
      <c r="H788" s="19"/>
    </row>
    <row r="789" spans="1:8" ht="15" customHeight="1" x14ac:dyDescent="0.15">
      <c r="A789" s="63"/>
      <c r="B789" s="78" t="s">
        <v>8</v>
      </c>
      <c r="C789" s="18" t="s">
        <v>2101</v>
      </c>
      <c r="D789" s="249"/>
      <c r="E789" s="18" t="s">
        <v>2102</v>
      </c>
      <c r="F789" s="247" t="str">
        <f>IF(wskakunin_sekou2_ZIP="", "", wskakunin_sekou2_ZIP)</f>
        <v/>
      </c>
      <c r="H789" s="19"/>
    </row>
    <row r="790" spans="1:8" ht="15" customHeight="1" x14ac:dyDescent="0.15">
      <c r="A790" s="63"/>
      <c r="B790" s="78" t="s">
        <v>11</v>
      </c>
      <c r="C790" s="18" t="s">
        <v>2103</v>
      </c>
      <c r="D790" s="247"/>
      <c r="E790" s="18" t="s">
        <v>2104</v>
      </c>
      <c r="F790" s="247" t="str">
        <f>IF(wskakunin_sekou2__address="", "", wskakunin_sekou2__address)</f>
        <v/>
      </c>
      <c r="H790" s="19"/>
    </row>
    <row r="791" spans="1:8" ht="15" customHeight="1" x14ac:dyDescent="0.15">
      <c r="A791" s="63"/>
      <c r="B791" s="78" t="s">
        <v>10</v>
      </c>
      <c r="C791" s="18" t="s">
        <v>2105</v>
      </c>
      <c r="D791" s="249"/>
      <c r="E791" s="18" t="s">
        <v>2106</v>
      </c>
      <c r="F791" s="247" t="str">
        <f>IF(wskakunin_sekou2_TEL="", "", wskakunin_sekou2_TEL)</f>
        <v/>
      </c>
      <c r="H791" s="19"/>
    </row>
    <row r="792" spans="1:8" ht="15" customHeight="1" x14ac:dyDescent="0.15">
      <c r="A792" s="63"/>
      <c r="B792" s="78"/>
      <c r="D792" s="36"/>
      <c r="F792" s="19"/>
      <c r="H792" s="19"/>
    </row>
    <row r="793" spans="1:8" ht="15" customHeight="1" x14ac:dyDescent="0.15">
      <c r="A793" s="54" t="s">
        <v>2172</v>
      </c>
      <c r="B793" s="55"/>
      <c r="D793" s="36"/>
      <c r="F793" s="19"/>
      <c r="H793" s="19"/>
    </row>
    <row r="794" spans="1:8" ht="15" customHeight="1" x14ac:dyDescent="0.15">
      <c r="A794" s="63"/>
      <c r="B794" s="78" t="s">
        <v>3</v>
      </c>
      <c r="C794" s="18" t="s">
        <v>2107</v>
      </c>
      <c r="D794" s="247"/>
      <c r="E794" s="18" t="s">
        <v>2108</v>
      </c>
      <c r="F794" s="247" t="str">
        <f>IF(wskakunin_sekou3_NAME="", "", wskakunin_sekou3_NAME)</f>
        <v/>
      </c>
      <c r="H794" s="19"/>
    </row>
    <row r="795" spans="1:8" ht="15" customHeight="1" x14ac:dyDescent="0.15">
      <c r="A795" s="63"/>
      <c r="B795" s="78" t="s">
        <v>1384</v>
      </c>
      <c r="C795" s="18" t="s">
        <v>2109</v>
      </c>
      <c r="D795" s="247"/>
      <c r="E795" s="18" t="s">
        <v>2110</v>
      </c>
      <c r="F795" s="247" t="str">
        <f>IF(wskakunin_sekou3_SEKOU__sikaku="", "", wskakunin_sekou3_SEKOU__sikaku)</f>
        <v/>
      </c>
      <c r="H795" s="19"/>
    </row>
    <row r="796" spans="1:8" ht="15" customHeight="1" x14ac:dyDescent="0.15">
      <c r="A796" s="63"/>
      <c r="B796" s="78" t="s">
        <v>592</v>
      </c>
      <c r="C796" s="18" t="s">
        <v>2111</v>
      </c>
      <c r="D796" s="247"/>
      <c r="E796" s="18" t="s">
        <v>2112</v>
      </c>
      <c r="F796" s="247" t="str">
        <f>IF(wskakunin_sekou3_SEKOU_SIKAKU__label="", "",wskakunin_sekou3_SEKOU_SIKAKU__label)</f>
        <v/>
      </c>
      <c r="H796" s="19"/>
    </row>
    <row r="797" spans="1:8" ht="15" customHeight="1" x14ac:dyDescent="0.15">
      <c r="A797" s="63"/>
      <c r="B797" s="78" t="s">
        <v>593</v>
      </c>
      <c r="C797" s="18" t="s">
        <v>2113</v>
      </c>
      <c r="D797" s="249"/>
      <c r="E797" s="18" t="s">
        <v>2114</v>
      </c>
      <c r="F797" s="247" t="str">
        <f>IF(wskakunin_sekou3_SEKOU_NO="","",wskakunin_sekou3_SEKOU_NO)</f>
        <v/>
      </c>
      <c r="H797" s="19"/>
    </row>
    <row r="798" spans="1:8" ht="15" customHeight="1" x14ac:dyDescent="0.15">
      <c r="A798" s="63"/>
      <c r="B798" s="78" t="s">
        <v>14</v>
      </c>
      <c r="C798" s="18" t="s">
        <v>2115</v>
      </c>
      <c r="D798" s="247"/>
      <c r="E798" s="18" t="s">
        <v>2116</v>
      </c>
      <c r="F798" s="247" t="str">
        <f>IF(wskakunin_sekou3_JIMU_NAME="", "", wskakunin_sekou3_JIMU_NAME)</f>
        <v/>
      </c>
      <c r="H798" s="19"/>
    </row>
    <row r="799" spans="1:8" ht="15" customHeight="1" x14ac:dyDescent="0.15">
      <c r="A799" s="63"/>
      <c r="B799" s="78" t="s">
        <v>8</v>
      </c>
      <c r="C799" s="18" t="s">
        <v>2117</v>
      </c>
      <c r="D799" s="249"/>
      <c r="E799" s="18" t="s">
        <v>2118</v>
      </c>
      <c r="F799" s="247" t="str">
        <f>IF(wskakunin_sekou3_ZIP="", "", wskakunin_sekou3_ZIP)</f>
        <v/>
      </c>
      <c r="H799" s="19"/>
    </row>
    <row r="800" spans="1:8" ht="15" customHeight="1" x14ac:dyDescent="0.15">
      <c r="A800" s="63"/>
      <c r="B800" s="78" t="s">
        <v>11</v>
      </c>
      <c r="C800" s="18" t="s">
        <v>2119</v>
      </c>
      <c r="D800" s="247"/>
      <c r="E800" s="18" t="s">
        <v>2120</v>
      </c>
      <c r="F800" s="247" t="str">
        <f>IF(wskakunin_sekou3__address="", "", wskakunin_sekou3__address)</f>
        <v/>
      </c>
      <c r="H800" s="19"/>
    </row>
    <row r="801" spans="1:8" ht="15" customHeight="1" x14ac:dyDescent="0.15">
      <c r="A801" s="63"/>
      <c r="B801" s="78" t="s">
        <v>10</v>
      </c>
      <c r="C801" s="18" t="s">
        <v>2121</v>
      </c>
      <c r="D801" s="249"/>
      <c r="E801" s="18" t="s">
        <v>2122</v>
      </c>
      <c r="F801" s="247" t="str">
        <f>IF(wskakunin_sekou3_TEL="", "", wskakunin_sekou3_TEL)</f>
        <v/>
      </c>
      <c r="H801" s="19"/>
    </row>
    <row r="802" spans="1:8" ht="15" customHeight="1" x14ac:dyDescent="0.15">
      <c r="A802" s="63"/>
      <c r="B802" s="78"/>
      <c r="D802" s="36"/>
      <c r="F802" s="19"/>
      <c r="H802" s="19"/>
    </row>
    <row r="803" spans="1:8" ht="15" customHeight="1" x14ac:dyDescent="0.15">
      <c r="A803" s="54" t="s">
        <v>2173</v>
      </c>
      <c r="B803" s="55"/>
      <c r="D803" s="36"/>
      <c r="F803" s="19"/>
      <c r="H803" s="19"/>
    </row>
    <row r="804" spans="1:8" ht="15" customHeight="1" x14ac:dyDescent="0.15">
      <c r="A804" s="63"/>
      <c r="B804" s="78" t="s">
        <v>3</v>
      </c>
      <c r="C804" s="18" t="s">
        <v>2123</v>
      </c>
      <c r="D804" s="247"/>
      <c r="E804" s="18" t="s">
        <v>2124</v>
      </c>
      <c r="F804" s="247" t="str">
        <f>IF(wskakunin_sekou4_NAME="", "", wskakunin_sekou4_NAME)</f>
        <v/>
      </c>
      <c r="H804" s="19"/>
    </row>
    <row r="805" spans="1:8" ht="15" customHeight="1" x14ac:dyDescent="0.15">
      <c r="A805" s="63"/>
      <c r="B805" s="78" t="s">
        <v>1384</v>
      </c>
      <c r="C805" s="18" t="s">
        <v>2125</v>
      </c>
      <c r="D805" s="247"/>
      <c r="E805" s="18" t="s">
        <v>2126</v>
      </c>
      <c r="F805" s="247" t="str">
        <f>IF(wskakunin_sekou4_SEKOU__sikaku="", "", wskakunin_sekou4_SEKOU__sikaku)</f>
        <v/>
      </c>
      <c r="H805" s="19"/>
    </row>
    <row r="806" spans="1:8" ht="15" customHeight="1" x14ac:dyDescent="0.15">
      <c r="A806" s="63"/>
      <c r="B806" s="78" t="s">
        <v>592</v>
      </c>
      <c r="C806" s="18" t="s">
        <v>2127</v>
      </c>
      <c r="D806" s="247"/>
      <c r="E806" s="18" t="s">
        <v>2128</v>
      </c>
      <c r="F806" s="247" t="str">
        <f>IF(wskakunin_sekou4_SEKOU_SIKAKU__label="", "",wskakunin_sekou4_SEKOU_SIKAKU__label)</f>
        <v/>
      </c>
      <c r="H806" s="19"/>
    </row>
    <row r="807" spans="1:8" ht="15" customHeight="1" x14ac:dyDescent="0.15">
      <c r="A807" s="63"/>
      <c r="B807" s="78" t="s">
        <v>593</v>
      </c>
      <c r="C807" s="18" t="s">
        <v>2129</v>
      </c>
      <c r="D807" s="249"/>
      <c r="E807" s="18" t="s">
        <v>2130</v>
      </c>
      <c r="F807" s="247" t="str">
        <f>IF(wskakunin_sekou4_SEKOU_NO="","",wskakunin_sekou4_SEKOU_NO)</f>
        <v/>
      </c>
      <c r="H807" s="19"/>
    </row>
    <row r="808" spans="1:8" ht="15" customHeight="1" x14ac:dyDescent="0.15">
      <c r="A808" s="63"/>
      <c r="B808" s="78" t="s">
        <v>14</v>
      </c>
      <c r="C808" s="18" t="s">
        <v>2131</v>
      </c>
      <c r="D808" s="247"/>
      <c r="E808" s="18" t="s">
        <v>2132</v>
      </c>
      <c r="F808" s="247" t="str">
        <f>IF(wskakunin_sekou4_JIMU_NAME="", "", wskakunin_sekou4_JIMU_NAME)</f>
        <v/>
      </c>
      <c r="H808" s="19"/>
    </row>
    <row r="809" spans="1:8" ht="15" customHeight="1" x14ac:dyDescent="0.15">
      <c r="A809" s="63"/>
      <c r="B809" s="78" t="s">
        <v>8</v>
      </c>
      <c r="C809" s="18" t="s">
        <v>2133</v>
      </c>
      <c r="D809" s="249"/>
      <c r="E809" s="18" t="s">
        <v>2134</v>
      </c>
      <c r="F809" s="247" t="str">
        <f>IF(wskakunin_sekou4_ZIP="", "", wskakunin_sekou4_ZIP)</f>
        <v/>
      </c>
      <c r="H809" s="19"/>
    </row>
    <row r="810" spans="1:8" ht="15" customHeight="1" x14ac:dyDescent="0.15">
      <c r="A810" s="63"/>
      <c r="B810" s="78" t="s">
        <v>11</v>
      </c>
      <c r="C810" s="18" t="s">
        <v>2135</v>
      </c>
      <c r="D810" s="247"/>
      <c r="E810" s="18" t="s">
        <v>2136</v>
      </c>
      <c r="F810" s="247" t="str">
        <f>IF(wskakunin_sekou4__address="", "", wskakunin_sekou4__address)</f>
        <v/>
      </c>
      <c r="H810" s="19"/>
    </row>
    <row r="811" spans="1:8" ht="15" customHeight="1" x14ac:dyDescent="0.15">
      <c r="A811" s="63"/>
      <c r="B811" s="78" t="s">
        <v>10</v>
      </c>
      <c r="C811" s="18" t="s">
        <v>2137</v>
      </c>
      <c r="D811" s="249"/>
      <c r="E811" s="18" t="s">
        <v>2138</v>
      </c>
      <c r="F811" s="247" t="str">
        <f>IF(wskakunin_sekou4_TEL="", "", wskakunin_sekou4_TEL)</f>
        <v/>
      </c>
      <c r="H811" s="19"/>
    </row>
    <row r="812" spans="1:8" ht="15" customHeight="1" x14ac:dyDescent="0.15">
      <c r="A812" s="63"/>
      <c r="B812" s="78"/>
      <c r="D812" s="36"/>
      <c r="F812" s="19"/>
      <c r="H812" s="19"/>
    </row>
    <row r="813" spans="1:8" ht="15" customHeight="1" x14ac:dyDescent="0.15">
      <c r="A813" s="54" t="s">
        <v>2174</v>
      </c>
      <c r="B813" s="55"/>
      <c r="D813" s="36"/>
      <c r="F813" s="19"/>
      <c r="H813" s="19"/>
    </row>
    <row r="814" spans="1:8" ht="15" customHeight="1" x14ac:dyDescent="0.15">
      <c r="A814" s="63"/>
      <c r="B814" s="78" t="s">
        <v>3</v>
      </c>
      <c r="C814" s="18" t="s">
        <v>2139</v>
      </c>
      <c r="D814" s="247"/>
      <c r="E814" s="18" t="s">
        <v>2140</v>
      </c>
      <c r="F814" s="247" t="str">
        <f>IF(wskakunin_sekou5_NAME="", "", wskakunin_sekou5_NAME)</f>
        <v/>
      </c>
      <c r="H814" s="19"/>
    </row>
    <row r="815" spans="1:8" ht="15" customHeight="1" x14ac:dyDescent="0.15">
      <c r="A815" s="63"/>
      <c r="B815" s="78" t="s">
        <v>1384</v>
      </c>
      <c r="C815" s="18" t="s">
        <v>2141</v>
      </c>
      <c r="D815" s="247"/>
      <c r="E815" s="18" t="s">
        <v>2142</v>
      </c>
      <c r="F815" s="247" t="str">
        <f>IF(wskakunin_sekou5_SEKOU__sikaku="", "", wskakunin_sekou5_SEKOU__sikaku)</f>
        <v/>
      </c>
      <c r="H815" s="19"/>
    </row>
    <row r="816" spans="1:8" ht="15" customHeight="1" x14ac:dyDescent="0.15">
      <c r="A816" s="63"/>
      <c r="B816" s="78" t="s">
        <v>592</v>
      </c>
      <c r="C816" s="18" t="s">
        <v>2143</v>
      </c>
      <c r="D816" s="247"/>
      <c r="E816" s="18" t="s">
        <v>2144</v>
      </c>
      <c r="F816" s="247" t="str">
        <f>IF(wskakunin_sekou5_SEKOU_SIKAKU__label="", "",wskakunin_sekou5_SEKOU_SIKAKU__label)</f>
        <v/>
      </c>
      <c r="H816" s="19"/>
    </row>
    <row r="817" spans="1:8" ht="15" customHeight="1" x14ac:dyDescent="0.15">
      <c r="A817" s="63"/>
      <c r="B817" s="78" t="s">
        <v>593</v>
      </c>
      <c r="C817" s="18" t="s">
        <v>2145</v>
      </c>
      <c r="D817" s="249"/>
      <c r="E817" s="18" t="s">
        <v>2146</v>
      </c>
      <c r="F817" s="247" t="str">
        <f>IF(wskakunin_sekou5_SEKOU_NO="","",wskakunin_sekou5_SEKOU_NO)</f>
        <v/>
      </c>
      <c r="H817" s="19"/>
    </row>
    <row r="818" spans="1:8" ht="15" customHeight="1" x14ac:dyDescent="0.15">
      <c r="A818" s="63"/>
      <c r="B818" s="78" t="s">
        <v>14</v>
      </c>
      <c r="C818" s="18" t="s">
        <v>2147</v>
      </c>
      <c r="D818" s="247"/>
      <c r="E818" s="18" t="s">
        <v>2148</v>
      </c>
      <c r="F818" s="247" t="str">
        <f>IF(wskakunin_sekou5_JIMU_NAME="", "", wskakunin_sekou5_JIMU_NAME)</f>
        <v/>
      </c>
      <c r="H818" s="19"/>
    </row>
    <row r="819" spans="1:8" ht="15" customHeight="1" x14ac:dyDescent="0.15">
      <c r="A819" s="63"/>
      <c r="B819" s="78" t="s">
        <v>8</v>
      </c>
      <c r="C819" s="18" t="s">
        <v>2149</v>
      </c>
      <c r="D819" s="249"/>
      <c r="E819" s="18" t="s">
        <v>2150</v>
      </c>
      <c r="F819" s="247" t="str">
        <f>IF(wskakunin_sekou5_ZIP="", "", wskakunin_sekou5_ZIP)</f>
        <v/>
      </c>
      <c r="H819" s="19"/>
    </row>
    <row r="820" spans="1:8" ht="15" customHeight="1" x14ac:dyDescent="0.15">
      <c r="A820" s="63"/>
      <c r="B820" s="78" t="s">
        <v>11</v>
      </c>
      <c r="C820" s="18" t="s">
        <v>2151</v>
      </c>
      <c r="D820" s="247"/>
      <c r="E820" s="18" t="s">
        <v>2152</v>
      </c>
      <c r="F820" s="247" t="str">
        <f>IF(wskakunin_sekou5__address="", "", wskakunin_sekou5__address)</f>
        <v/>
      </c>
      <c r="H820" s="19"/>
    </row>
    <row r="821" spans="1:8" ht="15" customHeight="1" x14ac:dyDescent="0.15">
      <c r="A821" s="63"/>
      <c r="B821" s="78" t="s">
        <v>10</v>
      </c>
      <c r="C821" s="18" t="s">
        <v>2153</v>
      </c>
      <c r="D821" s="249"/>
      <c r="E821" s="18" t="s">
        <v>2154</v>
      </c>
      <c r="F821" s="247" t="str">
        <f>IF(wskakunin_sekou5_TEL="", "", wskakunin_sekou5_TEL)</f>
        <v/>
      </c>
      <c r="H821" s="19"/>
    </row>
    <row r="822" spans="1:8" ht="15" customHeight="1" x14ac:dyDescent="0.15">
      <c r="A822" s="63"/>
      <c r="B822" s="78"/>
      <c r="D822" s="36"/>
      <c r="F822" s="19"/>
      <c r="H822" s="19"/>
    </row>
    <row r="823" spans="1:8" ht="15" customHeight="1" x14ac:dyDescent="0.15">
      <c r="A823" s="54" t="s">
        <v>2175</v>
      </c>
      <c r="B823" s="55"/>
      <c r="D823" s="36"/>
      <c r="F823" s="19"/>
      <c r="H823" s="19"/>
    </row>
    <row r="824" spans="1:8" ht="15" customHeight="1" x14ac:dyDescent="0.15">
      <c r="A824" s="63"/>
      <c r="B824" s="78" t="s">
        <v>3</v>
      </c>
      <c r="C824" s="18" t="s">
        <v>2155</v>
      </c>
      <c r="D824" s="247"/>
      <c r="E824" s="18" t="s">
        <v>2156</v>
      </c>
      <c r="F824" s="247" t="str">
        <f>IF(wskakunin_sekou6_NAME="", "", wskakunin_sekou6_NAME)</f>
        <v/>
      </c>
      <c r="H824" s="19"/>
    </row>
    <row r="825" spans="1:8" ht="15" customHeight="1" x14ac:dyDescent="0.15">
      <c r="A825" s="63"/>
      <c r="B825" s="78" t="s">
        <v>1384</v>
      </c>
      <c r="C825" s="18" t="s">
        <v>2157</v>
      </c>
      <c r="D825" s="247"/>
      <c r="E825" s="18" t="s">
        <v>2158</v>
      </c>
      <c r="F825" s="247" t="str">
        <f>IF(wskakunin_sekou6_SEKOU__sikaku="", "", wskakunin_sekou6_SEKOU__sikaku)</f>
        <v/>
      </c>
      <c r="H825" s="19"/>
    </row>
    <row r="826" spans="1:8" ht="15" customHeight="1" x14ac:dyDescent="0.15">
      <c r="A826" s="63"/>
      <c r="B826" s="78" t="s">
        <v>592</v>
      </c>
      <c r="C826" s="18" t="s">
        <v>2159</v>
      </c>
      <c r="D826" s="247"/>
      <c r="E826" s="18" t="s">
        <v>2160</v>
      </c>
      <c r="F826" s="247" t="str">
        <f>IF(wskakunin_sekou6_SEKOU_SIKAKU__label="", "",wskakunin_sekou6_SEKOU_SIKAKU__label)</f>
        <v/>
      </c>
      <c r="H826" s="19"/>
    </row>
    <row r="827" spans="1:8" ht="15" customHeight="1" x14ac:dyDescent="0.15">
      <c r="A827" s="63"/>
      <c r="B827" s="78" t="s">
        <v>593</v>
      </c>
      <c r="C827" s="18" t="s">
        <v>2161</v>
      </c>
      <c r="D827" s="249"/>
      <c r="E827" s="18" t="s">
        <v>2162</v>
      </c>
      <c r="F827" s="247" t="str">
        <f>IF(wskakunin_sekou6_SEKOU_NO="","",wskakunin_sekou6_SEKOU_NO)</f>
        <v/>
      </c>
      <c r="H827" s="19"/>
    </row>
    <row r="828" spans="1:8" ht="15" customHeight="1" x14ac:dyDescent="0.15">
      <c r="A828" s="63"/>
      <c r="B828" s="78" t="s">
        <v>14</v>
      </c>
      <c r="C828" s="18" t="s">
        <v>2163</v>
      </c>
      <c r="D828" s="247"/>
      <c r="E828" s="18" t="s">
        <v>2164</v>
      </c>
      <c r="F828" s="247" t="str">
        <f>IF(wskakunin_sekou6_JIMU_NAME="", "", wskakunin_sekou6_JIMU_NAME)</f>
        <v/>
      </c>
      <c r="H828" s="19"/>
    </row>
    <row r="829" spans="1:8" ht="15" customHeight="1" x14ac:dyDescent="0.15">
      <c r="A829" s="63"/>
      <c r="B829" s="78" t="s">
        <v>8</v>
      </c>
      <c r="C829" s="18" t="s">
        <v>2165</v>
      </c>
      <c r="D829" s="249"/>
      <c r="E829" s="18" t="s">
        <v>2166</v>
      </c>
      <c r="F829" s="247" t="str">
        <f>IF(wskakunin_sekou6_ZIP="", "", wskakunin_sekou6_ZIP)</f>
        <v/>
      </c>
      <c r="H829" s="19"/>
    </row>
    <row r="830" spans="1:8" ht="15" customHeight="1" x14ac:dyDescent="0.15">
      <c r="A830" s="63"/>
      <c r="B830" s="78" t="s">
        <v>11</v>
      </c>
      <c r="C830" s="18" t="s">
        <v>2167</v>
      </c>
      <c r="D830" s="247"/>
      <c r="E830" s="18" t="s">
        <v>2168</v>
      </c>
      <c r="F830" s="247" t="str">
        <f>IF(wskakunin_sekou6__address="", "", wskakunin_sekou6__address)</f>
        <v/>
      </c>
      <c r="H830" s="19"/>
    </row>
    <row r="831" spans="1:8" ht="15" customHeight="1" x14ac:dyDescent="0.15">
      <c r="A831" s="63"/>
      <c r="B831" s="78" t="s">
        <v>10</v>
      </c>
      <c r="C831" s="18" t="s">
        <v>2169</v>
      </c>
      <c r="D831" s="249"/>
      <c r="E831" s="18" t="s">
        <v>2170</v>
      </c>
      <c r="F831" s="247" t="str">
        <f>IF(wskakunin_sekou6_TEL="", "", wskakunin_sekou6_TEL)</f>
        <v/>
      </c>
      <c r="H831" s="19"/>
    </row>
    <row r="832" spans="1:8" ht="15" customHeight="1" x14ac:dyDescent="0.15">
      <c r="A832" s="63"/>
      <c r="B832" s="78"/>
      <c r="D832" s="36"/>
      <c r="F832" s="19"/>
      <c r="G832" s="19"/>
      <c r="H832" s="19"/>
    </row>
    <row r="833" spans="1:8" ht="15" customHeight="1" x14ac:dyDescent="0.15">
      <c r="A833" s="66" t="s">
        <v>615</v>
      </c>
      <c r="B833" s="61"/>
      <c r="D833" s="36"/>
      <c r="F833" s="19"/>
      <c r="G833" s="19"/>
      <c r="H833" s="19"/>
    </row>
    <row r="834" spans="1:8" ht="15" customHeight="1" x14ac:dyDescent="0.15">
      <c r="A834" s="63"/>
      <c r="B834" s="56" t="s">
        <v>870</v>
      </c>
      <c r="D834" s="19"/>
      <c r="E834" s="18" t="s">
        <v>871</v>
      </c>
      <c r="F834" s="247" t="b">
        <f>IF(ISERROR(FIND("一建設", cst_wskakunin_sekou1_JIMU_NAME)), FALSE, FIND("一建設", cst_wskakunin_sekou1_JIMU_NAME)=1)</f>
        <v>0</v>
      </c>
      <c r="G834" s="19" t="s">
        <v>872</v>
      </c>
    </row>
    <row r="835" spans="1:8" ht="15" customHeight="1" x14ac:dyDescent="0.15">
      <c r="A835" s="63"/>
      <c r="B835" s="57" t="s">
        <v>873</v>
      </c>
      <c r="D835" s="19"/>
      <c r="E835" s="18" t="s">
        <v>874</v>
      </c>
      <c r="F835" s="247">
        <f>IF(ISERROR(FIND("ケイアイスター不動産", cst_wskakunin_sekou1_JIMU_NAME)), 0, 1)</f>
        <v>0</v>
      </c>
      <c r="G835" s="19"/>
      <c r="H835" s="19"/>
    </row>
    <row r="836" spans="1:8" ht="15" customHeight="1" x14ac:dyDescent="0.15">
      <c r="A836" s="64"/>
      <c r="B836" s="58"/>
      <c r="D836" s="19"/>
      <c r="F836" s="19"/>
      <c r="G836" s="19"/>
      <c r="H836" s="19"/>
    </row>
    <row r="837" spans="1:8" ht="15" customHeight="1" x14ac:dyDescent="0.15">
      <c r="A837" s="48" t="s">
        <v>49</v>
      </c>
      <c r="B837" s="49"/>
      <c r="C837" s="18" t="s">
        <v>875</v>
      </c>
      <c r="D837" s="155" t="s">
        <v>2859</v>
      </c>
      <c r="E837" s="18" t="s">
        <v>876</v>
      </c>
      <c r="F837" s="155" t="str">
        <f>IF(wskakunin_BUILD_NAME="", "",wskakunin_BUILD_NAME)</f>
        <v>あああ</v>
      </c>
      <c r="G837" s="19"/>
      <c r="H837" s="19"/>
    </row>
    <row r="838" spans="1:8" ht="15" customHeight="1" x14ac:dyDescent="0.15">
      <c r="A838" s="53"/>
      <c r="B838" s="65" t="s">
        <v>41</v>
      </c>
      <c r="C838" s="18" t="s">
        <v>2592</v>
      </c>
      <c r="D838" s="255"/>
      <c r="E838" s="18" t="s">
        <v>2657</v>
      </c>
      <c r="F838" s="255" t="str">
        <f>IF(wskakunin_BUILD_NAME_KANA="","",wskakunin_BUILD_NAME_KANA)</f>
        <v/>
      </c>
      <c r="G838" s="19"/>
      <c r="H838" s="19"/>
    </row>
    <row r="839" spans="1:8" ht="15" customHeight="1" x14ac:dyDescent="0.15">
      <c r="A839" s="100" t="s">
        <v>2241</v>
      </c>
      <c r="B839" s="101"/>
      <c r="C839" s="18" t="s">
        <v>2242</v>
      </c>
      <c r="D839" s="155"/>
      <c r="E839" s="18" t="s">
        <v>2243</v>
      </c>
      <c r="F839" s="155" t="str">
        <f>IF(wskakunin_P2_BIKOU="","",wskakunin_P2_BIKOU)</f>
        <v/>
      </c>
    </row>
    <row r="840" spans="1:8" ht="15" customHeight="1" x14ac:dyDescent="0.15">
      <c r="A840" s="53"/>
      <c r="B840" s="65"/>
    </row>
    <row r="842" spans="1:8" ht="15" customHeight="1" x14ac:dyDescent="0.15">
      <c r="A842" s="50" t="s">
        <v>531</v>
      </c>
      <c r="B842" s="51"/>
      <c r="G842" s="19"/>
      <c r="H842" s="19"/>
    </row>
    <row r="843" spans="1:8" ht="15" customHeight="1" x14ac:dyDescent="0.15">
      <c r="A843" s="52"/>
      <c r="B843" s="76" t="s">
        <v>877</v>
      </c>
      <c r="C843" s="18" t="s">
        <v>878</v>
      </c>
      <c r="D843" s="155"/>
      <c r="G843" s="19"/>
      <c r="H843" s="19"/>
    </row>
    <row r="844" spans="1:8" ht="15" customHeight="1" x14ac:dyDescent="0.15">
      <c r="A844" s="52"/>
      <c r="B844" s="75" t="s">
        <v>879</v>
      </c>
      <c r="E844" s="18" t="s">
        <v>880</v>
      </c>
      <c r="F844" s="46" t="str">
        <f>IF(wskakunin_tekihan01_TEKIHAN_STATE=1,"■","□")</f>
        <v>□</v>
      </c>
      <c r="G844" s="19"/>
      <c r="H844" s="19"/>
    </row>
    <row r="845" spans="1:8" ht="15" customHeight="1" x14ac:dyDescent="0.15">
      <c r="A845" s="52"/>
      <c r="B845" s="75" t="s">
        <v>594</v>
      </c>
      <c r="E845" s="18" t="s">
        <v>603</v>
      </c>
      <c r="F845" s="46" t="str">
        <f>IF(wskakunin_tekihan01_TEKIHAN_STATE=2,"■","□")</f>
        <v>□</v>
      </c>
      <c r="G845" s="19"/>
      <c r="H845" s="19"/>
    </row>
    <row r="846" spans="1:8" ht="15" customHeight="1" x14ac:dyDescent="0.15">
      <c r="A846" s="52"/>
      <c r="B846" s="75" t="s">
        <v>595</v>
      </c>
      <c r="E846" s="18" t="s">
        <v>604</v>
      </c>
      <c r="F846" s="46" t="str">
        <f>IF(wskakunin_tekihan01_TEKIHAN_STATE=3,"■","□")</f>
        <v>□</v>
      </c>
      <c r="G846" s="19"/>
      <c r="H846" s="19"/>
    </row>
    <row r="847" spans="1:8" ht="15" customHeight="1" x14ac:dyDescent="0.15">
      <c r="A847" s="52"/>
      <c r="B847" s="76" t="s">
        <v>532</v>
      </c>
      <c r="C847" s="18" t="s">
        <v>881</v>
      </c>
      <c r="D847" s="155"/>
      <c r="E847" s="18" t="s">
        <v>882</v>
      </c>
      <c r="F847" s="46" t="str">
        <f>IF(wskakunin_tekihan01_TEKIHAN_KIKAN_NAME="","",wskakunin_tekihan01_TEKIHAN_KIKAN_NAME)</f>
        <v/>
      </c>
      <c r="G847" s="19"/>
      <c r="H847" s="19"/>
    </row>
    <row r="848" spans="1:8" ht="15" customHeight="1" x14ac:dyDescent="0.15">
      <c r="A848" s="52"/>
      <c r="B848" s="76" t="s">
        <v>533</v>
      </c>
      <c r="C848" s="18" t="s">
        <v>883</v>
      </c>
      <c r="D848" s="155"/>
      <c r="E848" s="18" t="s">
        <v>884</v>
      </c>
      <c r="F848" s="46" t="str">
        <f>IF(wskakunin_tekihan01_TEKIHAN_KIKAN_KEN__ken="","",wskakunin_tekihan01_TEKIHAN_KIKAN_KEN__ken)</f>
        <v/>
      </c>
      <c r="G848" s="19"/>
      <c r="H848" s="19"/>
    </row>
    <row r="849" spans="1:8" ht="15" customHeight="1" x14ac:dyDescent="0.15">
      <c r="A849" s="52"/>
      <c r="B849" s="76" t="s">
        <v>534</v>
      </c>
      <c r="C849" s="18" t="s">
        <v>885</v>
      </c>
      <c r="D849" s="155"/>
      <c r="E849" s="18" t="s">
        <v>886</v>
      </c>
      <c r="F849" s="46" t="str">
        <f>IF(wskakunin_tekihan01_TEKIHAN_KIKAN_ADDRESS="","",wskakunin_tekihan01_TEKIHAN_KIKAN_ADDRESS)</f>
        <v/>
      </c>
      <c r="G849" s="19"/>
      <c r="H849" s="19"/>
    </row>
    <row r="850" spans="1:8" ht="15" customHeight="1" x14ac:dyDescent="0.15">
      <c r="A850" s="52"/>
      <c r="B850" s="76" t="s">
        <v>605</v>
      </c>
      <c r="D850" s="155"/>
      <c r="E850" s="18" t="s">
        <v>887</v>
      </c>
      <c r="F850" s="46" t="str">
        <f>cst_wskakunin_tekihan01_TEKIHAN_KIKAN_NAME&amp;IF(OR(cst_wskakunin_tekihan01_TEKIHAN_KIKAN_KEN__ken&lt;&gt;"",cst_wskakunin_tekihan01_TEKIHAN_KIKAN_ADDRESS&lt;&gt;""),"  ","")&amp;cst_wskakunin_tekihan01_TEKIHAN_KIKAN_KEN__ken&amp;cst_wskakunin_tekihan01_TEKIHAN_KIKAN_ADDRESS</f>
        <v/>
      </c>
      <c r="G850" s="19"/>
      <c r="H850" s="19"/>
    </row>
    <row r="851" spans="1:8" ht="15" customHeight="1" x14ac:dyDescent="0.15">
      <c r="A851" s="52"/>
      <c r="B851" s="76" t="s">
        <v>532</v>
      </c>
      <c r="C851" s="18" t="s">
        <v>888</v>
      </c>
      <c r="D851" s="155"/>
      <c r="E851" s="18" t="s">
        <v>889</v>
      </c>
      <c r="F851" s="46" t="str">
        <f>IF(wskakunin_tekihan02_TEKIHAN_KIKAN_NAME="","",wskakunin_tekihan02_TEKIHAN_KIKAN_NAME)</f>
        <v/>
      </c>
      <c r="G851" s="19"/>
      <c r="H851" s="19"/>
    </row>
    <row r="852" spans="1:8" ht="15" customHeight="1" x14ac:dyDescent="0.15">
      <c r="A852" s="52"/>
      <c r="B852" s="76" t="s">
        <v>533</v>
      </c>
      <c r="C852" s="18" t="s">
        <v>890</v>
      </c>
      <c r="D852" s="155"/>
      <c r="E852" s="18" t="s">
        <v>891</v>
      </c>
      <c r="F852" s="46" t="str">
        <f>IF(wskakunin_tekihan02_TEKIHAN_KIKAN_KEN__ken="","",wskakunin_tekihan02_TEKIHAN_KIKAN_KEN__ken)</f>
        <v/>
      </c>
      <c r="G852" s="19"/>
      <c r="H852" s="19"/>
    </row>
    <row r="853" spans="1:8" ht="15" customHeight="1" x14ac:dyDescent="0.15">
      <c r="A853" s="52"/>
      <c r="B853" s="76" t="s">
        <v>534</v>
      </c>
      <c r="C853" s="18" t="s">
        <v>892</v>
      </c>
      <c r="D853" s="155"/>
      <c r="E853" s="18" t="s">
        <v>893</v>
      </c>
      <c r="F853" s="46" t="str">
        <f>IF(wskakunin_tekihan02_TEKIHAN_KIKAN_ADDRESS="","",wskakunin_tekihan02_TEKIHAN_KIKAN_ADDRESS)</f>
        <v/>
      </c>
      <c r="G853" s="19"/>
      <c r="H853" s="19"/>
    </row>
    <row r="854" spans="1:8" ht="15" customHeight="1" x14ac:dyDescent="0.15">
      <c r="A854" s="52"/>
      <c r="B854" s="76" t="s">
        <v>605</v>
      </c>
      <c r="D854" s="155"/>
      <c r="E854" s="18" t="s">
        <v>894</v>
      </c>
      <c r="F854" s="46" t="str">
        <f>cst_wskakunin_tekihan02_TEKIHAN_KIKAN_NAME&amp;IF(OR(cst_wskakunin_tekihan02_TEKIHAN_KIKAN_KEN__ken&lt;&gt;"",cst_wskakunin_tekihan02_TEKIHAN_KIKAN_ADDRESS&lt;&gt;""),"  ","")&amp;cst_wskakunin_tekihan02_TEKIHAN_KIKAN_KEN__ken&amp;cst_wskakunin_tekihan02_TEKIHAN_KIKAN_ADDRESS</f>
        <v/>
      </c>
      <c r="G854" s="19"/>
      <c r="H854" s="19"/>
    </row>
    <row r="855" spans="1:8" ht="15" customHeight="1" x14ac:dyDescent="0.15">
      <c r="A855" s="52"/>
      <c r="B855" s="77"/>
      <c r="G855" s="19"/>
      <c r="H855" s="19"/>
    </row>
    <row r="856" spans="1:8" ht="15" customHeight="1" x14ac:dyDescent="0.15">
      <c r="A856" s="50" t="s">
        <v>617</v>
      </c>
      <c r="B856" s="51"/>
      <c r="G856" s="19"/>
      <c r="H856" s="19"/>
    </row>
    <row r="857" spans="1:8" ht="15" customHeight="1" x14ac:dyDescent="0.15">
      <c r="A857" s="52"/>
      <c r="B857" s="75" t="s">
        <v>535</v>
      </c>
      <c r="C857" s="18" t="s">
        <v>895</v>
      </c>
      <c r="D857" s="46"/>
      <c r="G857" s="19"/>
      <c r="H857" s="19"/>
    </row>
    <row r="858" spans="1:8" ht="15" customHeight="1" x14ac:dyDescent="0.15">
      <c r="A858" s="52"/>
      <c r="B858" s="75" t="s">
        <v>596</v>
      </c>
      <c r="E858" s="18" t="s">
        <v>896</v>
      </c>
      <c r="F858" s="46" t="str">
        <f>IF(wskakunin_ecotekihan01_TEKIHAN_STATE=1,"■","□")</f>
        <v>□</v>
      </c>
      <c r="G858" s="19">
        <v>1</v>
      </c>
      <c r="H858" s="19"/>
    </row>
    <row r="859" spans="1:8" ht="15" customHeight="1" x14ac:dyDescent="0.15">
      <c r="A859" s="52"/>
      <c r="B859" s="75" t="s">
        <v>597</v>
      </c>
      <c r="E859" s="18" t="s">
        <v>897</v>
      </c>
      <c r="F859" s="46" t="str">
        <f>IF(wskakunin_ecotekihan01_TEKIHAN_STATE=2,"■","□")</f>
        <v>□</v>
      </c>
      <c r="G859" s="19">
        <v>2</v>
      </c>
      <c r="H859" s="19"/>
    </row>
    <row r="860" spans="1:8" ht="15" customHeight="1" x14ac:dyDescent="0.15">
      <c r="A860" s="52"/>
      <c r="B860" s="75" t="s">
        <v>598</v>
      </c>
      <c r="E860" s="18" t="s">
        <v>898</v>
      </c>
      <c r="F860" s="46" t="str">
        <f>IF(wskakunin_ecotekihan01_TEKIHAN_STATE=3,"■","□")</f>
        <v>□</v>
      </c>
      <c r="G860" s="19">
        <v>3</v>
      </c>
      <c r="H860" s="19"/>
    </row>
    <row r="861" spans="1:8" ht="15" customHeight="1" x14ac:dyDescent="0.15">
      <c r="A861" s="52"/>
      <c r="B861" s="76" t="s">
        <v>532</v>
      </c>
      <c r="C861" s="18" t="s">
        <v>899</v>
      </c>
      <c r="D861" s="46"/>
      <c r="E861" s="18" t="s">
        <v>900</v>
      </c>
      <c r="F861" s="46" t="str">
        <f>IF(wskakunin_ecotekihan01_TEKIHAN_KIKAN_NAME="","",wskakunin_ecotekihan01_TEKIHAN_KIKAN_NAME)</f>
        <v/>
      </c>
      <c r="G861" s="19"/>
      <c r="H861" s="19"/>
    </row>
    <row r="862" spans="1:8" ht="15" customHeight="1" x14ac:dyDescent="0.15">
      <c r="A862" s="52"/>
      <c r="B862" s="76" t="s">
        <v>533</v>
      </c>
      <c r="C862" s="18" t="s">
        <v>901</v>
      </c>
      <c r="D862" s="46"/>
      <c r="E862" s="18" t="s">
        <v>902</v>
      </c>
      <c r="F862" s="46" t="str">
        <f>IF(wskakunin_ecotekihan01_TEKIHAN_KIKAN_KEN__ken="","",wskakunin_ecotekihan01_TEKIHAN_KIKAN_KEN__ken)</f>
        <v/>
      </c>
      <c r="G862" s="19"/>
      <c r="H862" s="19"/>
    </row>
    <row r="863" spans="1:8" ht="15" customHeight="1" x14ac:dyDescent="0.15">
      <c r="A863" s="52"/>
      <c r="B863" s="76" t="s">
        <v>534</v>
      </c>
      <c r="C863" s="18" t="s">
        <v>903</v>
      </c>
      <c r="D863" s="46"/>
      <c r="E863" s="18" t="s">
        <v>904</v>
      </c>
      <c r="F863" s="46" t="str">
        <f>IF(wskakunin_ecotekihan01_TEKIHAN_KIKAN_ADDRESS="","",wskakunin_ecotekihan01_TEKIHAN_KIKAN_ADDRESS)</f>
        <v/>
      </c>
      <c r="G863" s="19"/>
      <c r="H863" s="19"/>
    </row>
    <row r="864" spans="1:8" ht="15" customHeight="1" x14ac:dyDescent="0.15">
      <c r="A864" s="52"/>
      <c r="B864" s="76"/>
      <c r="G864" s="19"/>
      <c r="H864" s="19"/>
    </row>
    <row r="865" spans="1:8" ht="15" customHeight="1" x14ac:dyDescent="0.15">
      <c r="A865" s="52"/>
      <c r="B865" s="76" t="s">
        <v>618</v>
      </c>
      <c r="E865" s="18" t="s">
        <v>905</v>
      </c>
      <c r="F865" s="46" t="str">
        <f>IF(wskakunin_ecotekihan01_TEKIHAN_STATE=1,cst_wskakunin_ecotekihan01_TEKIHAN_KIKAN_NAME&amp;IF(OR(cst_wskakunin_ecotekihan01_TEKIHAN_KIKAN_KEN__ken&lt;&gt;"",cst_wskakunin_ecotekihan01_TEKIHAN_KIKAN_ADDRESS&lt;&gt;""),"  ","")&amp;cst_wskakunin_ecotekihan01_TEKIHAN_KIKAN_KEN__ken&amp;cst_wskakunin_ecotekihan01_TEKIHAN_KIKAN_ADDRESS,"")</f>
        <v/>
      </c>
      <c r="G865" s="19"/>
      <c r="H865" s="19"/>
    </row>
    <row r="866" spans="1:8" ht="15" customHeight="1" x14ac:dyDescent="0.15">
      <c r="A866" s="52"/>
      <c r="B866" s="76" t="s">
        <v>619</v>
      </c>
      <c r="E866" s="18" t="s">
        <v>906</v>
      </c>
      <c r="F866" s="46" t="str">
        <f>IF(wskakunin_ecotekihan01_TEKIHAN_STATE=2,cst_wskakunin_ecotekihan01_TEKIHAN_KIKAN_NAME&amp;IF(OR(cst_wskakunin_ecotekihan01_TEKIHAN_KIKAN_KEN__ken&lt;&gt;"",cst_wskakunin_ecotekihan01_TEKIHAN_KIKAN_ADDRESS&lt;&gt;""),"  ","")&amp;cst_wskakunin_ecotekihan01_TEKIHAN_KIKAN_KEN__ken&amp;cst_wskakunin_ecotekihan01_TEKIHAN_KIKAN_ADDRESS,"")</f>
        <v/>
      </c>
      <c r="G866" s="19"/>
      <c r="H866" s="19"/>
    </row>
    <row r="867" spans="1:8" ht="15" customHeight="1" x14ac:dyDescent="0.15">
      <c r="A867" s="52"/>
      <c r="B867" s="76" t="s">
        <v>608</v>
      </c>
      <c r="C867" s="18" t="s">
        <v>907</v>
      </c>
      <c r="D867" s="46"/>
      <c r="E867" s="18" t="s">
        <v>616</v>
      </c>
      <c r="F867" s="46" t="str">
        <f>IF(wskakunin_ecotekihan01_FUYOU_CAUSE="","",wskakunin_ecotekihan01_FUYOU_CAUSE)</f>
        <v/>
      </c>
      <c r="G867" s="19"/>
      <c r="H867" s="19"/>
    </row>
    <row r="868" spans="1:8" ht="15" customHeight="1" x14ac:dyDescent="0.15">
      <c r="A868" s="53"/>
      <c r="B868" s="77"/>
      <c r="G868" s="19"/>
      <c r="H868" s="19"/>
    </row>
    <row r="869" spans="1:8" ht="15" customHeight="1" x14ac:dyDescent="0.15">
      <c r="G869" s="19"/>
      <c r="H869" s="19"/>
    </row>
    <row r="870" spans="1:8" ht="15" customHeight="1" x14ac:dyDescent="0.15">
      <c r="A870" s="54" t="s">
        <v>50</v>
      </c>
      <c r="B870" s="113"/>
      <c r="G870" s="19"/>
      <c r="H870" s="19"/>
    </row>
    <row r="871" spans="1:8" ht="15" customHeight="1" x14ac:dyDescent="0.15">
      <c r="A871" s="211" t="s">
        <v>1180</v>
      </c>
      <c r="B871" s="78" t="s">
        <v>40</v>
      </c>
      <c r="C871" s="18" t="s">
        <v>908</v>
      </c>
      <c r="D871" s="247"/>
      <c r="E871" s="18" t="s">
        <v>909</v>
      </c>
      <c r="F871" s="247" t="str">
        <f>IF(wskakunin_p4_1_youto1_YOUTO="", "", wskakunin_p4_1_youto1_YOUTO)</f>
        <v/>
      </c>
      <c r="G871" s="19"/>
      <c r="H871" s="19"/>
    </row>
    <row r="872" spans="1:8" ht="15" customHeight="1" x14ac:dyDescent="0.15">
      <c r="A872" s="114"/>
      <c r="B872" s="78" t="s">
        <v>910</v>
      </c>
      <c r="C872" s="18" t="s">
        <v>911</v>
      </c>
      <c r="D872" s="249"/>
      <c r="E872" s="18" t="s">
        <v>912</v>
      </c>
      <c r="F872" s="247" t="str">
        <f>IF(wskakunin_p4_1_youto1_YOUTO_CODE="","",wskakunin_p4_1_youto1_YOUTO_CODE)</f>
        <v/>
      </c>
      <c r="G872" s="19"/>
      <c r="H872" s="19"/>
    </row>
    <row r="873" spans="1:8" ht="15" customHeight="1" x14ac:dyDescent="0.15">
      <c r="A873" s="114"/>
      <c r="B873" s="78" t="s">
        <v>15</v>
      </c>
      <c r="C873" s="107"/>
      <c r="D873" s="249"/>
      <c r="E873" s="18" t="s">
        <v>913</v>
      </c>
      <c r="F873" s="247"/>
      <c r="G873" s="19"/>
      <c r="H873" s="19"/>
    </row>
    <row r="874" spans="1:8" ht="15" customHeight="1" x14ac:dyDescent="0.15">
      <c r="A874" s="114"/>
      <c r="B874" s="78" t="s">
        <v>914</v>
      </c>
      <c r="C874" s="107"/>
      <c r="D874" s="249"/>
      <c r="E874" s="18" t="s">
        <v>915</v>
      </c>
      <c r="F874" s="247"/>
      <c r="G874" s="19"/>
      <c r="H874" s="19"/>
    </row>
    <row r="875" spans="1:8" ht="15" customHeight="1" x14ac:dyDescent="0.15">
      <c r="A875" s="114"/>
      <c r="B875" s="78" t="s">
        <v>16</v>
      </c>
      <c r="C875" s="107"/>
      <c r="D875" s="249"/>
      <c r="E875" s="18" t="s">
        <v>916</v>
      </c>
      <c r="F875" s="247"/>
      <c r="G875" s="19"/>
      <c r="H875" s="19"/>
    </row>
    <row r="876" spans="1:8" ht="15" customHeight="1" x14ac:dyDescent="0.15">
      <c r="A876" s="114"/>
      <c r="B876" s="78" t="s">
        <v>17</v>
      </c>
      <c r="C876" s="107"/>
      <c r="D876" s="249"/>
      <c r="E876" s="18" t="s">
        <v>917</v>
      </c>
      <c r="F876" s="247"/>
      <c r="G876" s="19"/>
      <c r="H876" s="19"/>
    </row>
    <row r="877" spans="1:8" ht="15" customHeight="1" x14ac:dyDescent="0.15">
      <c r="A877" s="114"/>
      <c r="B877" s="78" t="s">
        <v>18</v>
      </c>
      <c r="C877" s="107"/>
      <c r="D877" s="249"/>
      <c r="E877" s="18" t="s">
        <v>918</v>
      </c>
      <c r="F877" s="247"/>
      <c r="G877" s="19"/>
      <c r="H877" s="19"/>
    </row>
    <row r="878" spans="1:8" ht="15" customHeight="1" x14ac:dyDescent="0.15">
      <c r="A878" s="114"/>
      <c r="B878" s="78" t="s">
        <v>19</v>
      </c>
      <c r="C878" s="107"/>
      <c r="D878" s="249"/>
      <c r="E878" s="18" t="s">
        <v>919</v>
      </c>
      <c r="F878" s="247"/>
      <c r="G878" s="19"/>
      <c r="H878" s="19"/>
    </row>
    <row r="879" spans="1:8" ht="15" customHeight="1" x14ac:dyDescent="0.15">
      <c r="A879" s="114"/>
      <c r="B879" s="78" t="s">
        <v>6</v>
      </c>
      <c r="C879" s="107"/>
      <c r="D879" s="249"/>
      <c r="E879" s="18" t="s">
        <v>920</v>
      </c>
      <c r="F879" s="257" t="str">
        <f>IF(D872="08010","○","")</f>
        <v/>
      </c>
      <c r="G879" s="19"/>
      <c r="H879" s="19"/>
    </row>
    <row r="880" spans="1:8" ht="15" customHeight="1" x14ac:dyDescent="0.15">
      <c r="A880" s="63"/>
      <c r="B880" s="78" t="s">
        <v>23</v>
      </c>
      <c r="C880" s="18" t="s">
        <v>921</v>
      </c>
      <c r="D880" s="247"/>
      <c r="E880" s="18" t="s">
        <v>922</v>
      </c>
      <c r="F880" s="247" t="str">
        <f>IF(wskakunin_p4_1__kouji="", "", wskakunin_p4_1__kouji)</f>
        <v/>
      </c>
      <c r="G880" s="19"/>
      <c r="H880" s="19"/>
    </row>
    <row r="881" spans="1:8" ht="15" customHeight="1" x14ac:dyDescent="0.15">
      <c r="A881" s="63"/>
      <c r="B881" s="78" t="s">
        <v>52</v>
      </c>
      <c r="C881" s="18" t="s">
        <v>923</v>
      </c>
      <c r="D881" s="247"/>
      <c r="E881" s="18" t="s">
        <v>924</v>
      </c>
      <c r="F881" s="247" t="str">
        <f>IF(wskakunin_p4_1_KAISU_TIKAI_NOZOKU="", "", wskakunin_p4_1_KAISU_TIKAI_NOZOKU)</f>
        <v/>
      </c>
      <c r="G881" s="19"/>
      <c r="H881" s="19"/>
    </row>
    <row r="882" spans="1:8" ht="15" customHeight="1" x14ac:dyDescent="0.15">
      <c r="A882" s="63"/>
      <c r="B882" s="78" t="s">
        <v>53</v>
      </c>
      <c r="C882" s="18" t="s">
        <v>925</v>
      </c>
      <c r="D882" s="247"/>
      <c r="E882" s="18" t="s">
        <v>926</v>
      </c>
      <c r="F882" s="247" t="str">
        <f>IF(wskakunin_p4_1_KAISU_TIKAI="", "", wskakunin_p4_1_KAISU_TIKAI)</f>
        <v/>
      </c>
      <c r="G882" s="19"/>
      <c r="H882" s="19"/>
    </row>
    <row r="883" spans="1:8" ht="15" customHeight="1" x14ac:dyDescent="0.15">
      <c r="A883" s="63"/>
      <c r="B883" s="78" t="s">
        <v>22</v>
      </c>
      <c r="C883" s="18" t="s">
        <v>927</v>
      </c>
      <c r="D883" s="247"/>
      <c r="E883" s="18" t="s">
        <v>928</v>
      </c>
      <c r="F883" s="247" t="str">
        <f>IF(wskakunin_p4_1_KOUZOU1="", "", wskakunin_p4_1_KOUZOU1)</f>
        <v/>
      </c>
      <c r="G883" s="19"/>
      <c r="H883" s="19"/>
    </row>
    <row r="884" spans="1:8" ht="15" customHeight="1" x14ac:dyDescent="0.15">
      <c r="A884" s="63"/>
      <c r="B884" s="78" t="s">
        <v>54</v>
      </c>
      <c r="C884" s="18" t="s">
        <v>929</v>
      </c>
      <c r="D884" s="247"/>
      <c r="E884" s="18" t="s">
        <v>930</v>
      </c>
      <c r="F884" s="247" t="str">
        <f>IF(wskakunin_p4_1_KOUZOU2="", "", wskakunin_p4_1_KOUZOU2)</f>
        <v/>
      </c>
      <c r="G884" s="19"/>
      <c r="H884" s="19"/>
    </row>
    <row r="885" spans="1:8" ht="15" customHeight="1" x14ac:dyDescent="0.15">
      <c r="A885" s="63"/>
      <c r="B885" s="78" t="s">
        <v>55</v>
      </c>
      <c r="C885" s="18" t="s">
        <v>931</v>
      </c>
      <c r="D885" s="256"/>
      <c r="E885" s="18" t="s">
        <v>932</v>
      </c>
      <c r="F885" s="247" t="str">
        <f>IF(wskakunin_p4_1_TAKASA_MAX="", "", wskakunin_p4_1_TAKASA_MAX)</f>
        <v/>
      </c>
      <c r="G885" s="19"/>
      <c r="H885" s="19"/>
    </row>
    <row r="886" spans="1:8" ht="15" customHeight="1" x14ac:dyDescent="0.15">
      <c r="A886" s="63"/>
      <c r="B886" s="78" t="s">
        <v>56</v>
      </c>
      <c r="C886" s="18" t="s">
        <v>933</v>
      </c>
      <c r="D886" s="256"/>
      <c r="E886" s="18" t="s">
        <v>934</v>
      </c>
      <c r="F886" s="247" t="str">
        <f>IF(wskakunin_p4_1_TAKASA_KEN_MAX="", "", wskakunin_p4_1_TAKASA_KEN_MAX)</f>
        <v/>
      </c>
      <c r="G886" s="19"/>
      <c r="H886" s="19"/>
    </row>
    <row r="887" spans="1:8" ht="15" customHeight="1" x14ac:dyDescent="0.15">
      <c r="A887" s="63"/>
      <c r="B887" s="209" t="s">
        <v>2498</v>
      </c>
      <c r="C887" s="18" t="s">
        <v>2803</v>
      </c>
      <c r="D887" s="256"/>
      <c r="E887" s="18" t="s">
        <v>2804</v>
      </c>
      <c r="F887" s="247" t="str">
        <f>IF(wskakunin_p4_1_KAISU_YUKA_MENSEKI_SHINSEI="","",wskakunin_p4_1_KAISU_YUKA_MENSEKI_SHINSEI)</f>
        <v/>
      </c>
      <c r="G887" s="19"/>
      <c r="H887" s="19"/>
    </row>
    <row r="888" spans="1:8" ht="15" customHeight="1" x14ac:dyDescent="0.15">
      <c r="A888" s="273"/>
      <c r="B888" s="209" t="s">
        <v>2784</v>
      </c>
      <c r="C888" s="18" t="s">
        <v>2785</v>
      </c>
      <c r="D888" s="256"/>
      <c r="E888" s="18" t="s">
        <v>2786</v>
      </c>
      <c r="F888" s="247" t="str">
        <f>IF(wskakunin_p4_1_TOKUREI_KAKUNIN_FLAG=1,"有","無")</f>
        <v>無</v>
      </c>
      <c r="G888" s="19"/>
      <c r="H888" s="19"/>
    </row>
    <row r="889" spans="1:8" ht="15" customHeight="1" x14ac:dyDescent="0.15">
      <c r="A889" s="273"/>
      <c r="B889" s="209"/>
      <c r="D889" s="210"/>
      <c r="E889" s="18" t="s">
        <v>2787</v>
      </c>
      <c r="F889" s="247" t="str">
        <f>IF(cst_wskakunin_p4_1_TOKUREI_KAKUNIN_FLAG="有","■","□")</f>
        <v>□</v>
      </c>
      <c r="G889" s="19"/>
      <c r="H889" s="19"/>
    </row>
    <row r="890" spans="1:8" ht="15" customHeight="1" x14ac:dyDescent="0.15">
      <c r="A890" s="273"/>
      <c r="B890" s="209"/>
      <c r="D890" s="210"/>
      <c r="E890" s="18" t="s">
        <v>2788</v>
      </c>
      <c r="F890" s="247" t="str">
        <f>IF(cst_wskakunin_p4_1_TOKUREI_KAKUNIN_FLAG="無","■","□")</f>
        <v>■</v>
      </c>
      <c r="G890" s="19"/>
      <c r="H890" s="19"/>
    </row>
    <row r="891" spans="1:8" ht="15" customHeight="1" x14ac:dyDescent="0.15">
      <c r="A891" s="134"/>
      <c r="B891" s="135"/>
      <c r="D891" s="210"/>
      <c r="F891" s="19"/>
      <c r="G891" s="19"/>
      <c r="H891" s="19"/>
    </row>
    <row r="892" spans="1:8" ht="15" customHeight="1" x14ac:dyDescent="0.15">
      <c r="A892" s="279"/>
      <c r="B892" s="282" t="s">
        <v>2806</v>
      </c>
      <c r="C892" s="18" t="s">
        <v>2805</v>
      </c>
      <c r="D892" s="256"/>
      <c r="E892" s="18" t="s">
        <v>2811</v>
      </c>
      <c r="F892" s="247" t="str">
        <f>IF(wskakunin_p4_1_p5_1_KAI="","",wskakunin_p4_1_p5_1_KAI)</f>
        <v/>
      </c>
      <c r="G892" s="19"/>
      <c r="H892" s="19"/>
    </row>
    <row r="893" spans="1:8" ht="15" customHeight="1" x14ac:dyDescent="0.15">
      <c r="A893" s="280"/>
      <c r="B893" s="78" t="s">
        <v>2807</v>
      </c>
      <c r="C893" s="18" t="s">
        <v>2808</v>
      </c>
      <c r="D893" s="256"/>
      <c r="E893" s="18" t="s">
        <v>2812</v>
      </c>
      <c r="F893" s="247" t="str">
        <f>IF(wskakunin_p4_1_p5_1_P4_MENSEKI_SHINSEI="","",wskakunin_p4_1_p5_1_P4_MENSEKI_SHINSEI)</f>
        <v/>
      </c>
      <c r="G893" s="19"/>
      <c r="H893" s="19"/>
    </row>
    <row r="894" spans="1:8" ht="15" customHeight="1" x14ac:dyDescent="0.15">
      <c r="A894" s="280"/>
      <c r="B894" s="78" t="s">
        <v>2809</v>
      </c>
      <c r="C894" s="18" t="s">
        <v>2813</v>
      </c>
      <c r="D894" s="256"/>
      <c r="E894" s="18" t="s">
        <v>2815</v>
      </c>
      <c r="F894" s="247" t="str">
        <f>IF(wskakunin_p4_1_p5_2_KAI="","",wskakunin_p4_1_p5_2_KAI)</f>
        <v/>
      </c>
      <c r="G894" s="19"/>
      <c r="H894" s="19"/>
    </row>
    <row r="895" spans="1:8" ht="15" customHeight="1" x14ac:dyDescent="0.15">
      <c r="A895" s="280"/>
      <c r="B895" s="78" t="s">
        <v>2810</v>
      </c>
      <c r="C895" s="18" t="s">
        <v>2814</v>
      </c>
      <c r="D895" s="256"/>
      <c r="E895" s="18" t="s">
        <v>2816</v>
      </c>
      <c r="F895" s="247" t="str">
        <f>IF(wskakunin_p4_1_p5_2_P4_MENSEKI_SHINSEI="","",wskakunin_p4_1_p5_2_P4_MENSEKI_SHINSEI)</f>
        <v/>
      </c>
      <c r="G895" s="19"/>
      <c r="H895" s="19"/>
    </row>
    <row r="896" spans="1:8" ht="15" customHeight="1" x14ac:dyDescent="0.15">
      <c r="A896" s="280"/>
      <c r="B896" s="78" t="s">
        <v>2817</v>
      </c>
      <c r="C896" s="18" t="s">
        <v>2819</v>
      </c>
      <c r="D896" s="256"/>
      <c r="E896" s="18" t="s">
        <v>2821</v>
      </c>
      <c r="F896" s="247" t="str">
        <f>IF(wskakunin_p4_1_p5_3_KAI="","",wskakunin_p4_1_p5_3_KAI)</f>
        <v/>
      </c>
      <c r="G896" s="19"/>
      <c r="H896" s="19"/>
    </row>
    <row r="897" spans="1:8" ht="15" customHeight="1" x14ac:dyDescent="0.15">
      <c r="A897" s="281"/>
      <c r="B897" s="78" t="s">
        <v>2818</v>
      </c>
      <c r="C897" s="18" t="s">
        <v>2820</v>
      </c>
      <c r="D897" s="256"/>
      <c r="E897" s="18" t="s">
        <v>2822</v>
      </c>
      <c r="F897" s="247" t="str">
        <f>IF(wskakunin_p4_1_p5_3_P4_MENSEKI_SHINSEI="","",wskakunin_p4_1_p5_3_P4_MENSEKI_SHINSEI)</f>
        <v/>
      </c>
      <c r="G897" s="19"/>
      <c r="H897" s="19"/>
    </row>
    <row r="899" spans="1:8" ht="15" customHeight="1" x14ac:dyDescent="0.15">
      <c r="A899" s="60" t="s">
        <v>30</v>
      </c>
      <c r="B899" s="108"/>
      <c r="G899" s="19"/>
      <c r="H899" s="19"/>
    </row>
    <row r="900" spans="1:8" ht="15" customHeight="1" x14ac:dyDescent="0.15">
      <c r="A900" s="48" t="s">
        <v>935</v>
      </c>
      <c r="B900" s="51"/>
      <c r="G900" s="19"/>
      <c r="H900" s="19"/>
    </row>
    <row r="901" spans="1:8" ht="15" customHeight="1" x14ac:dyDescent="0.15">
      <c r="A901" s="85"/>
      <c r="B901" s="79" t="s">
        <v>622</v>
      </c>
      <c r="C901" s="18" t="s">
        <v>936</v>
      </c>
      <c r="D901" s="155" t="s">
        <v>2858</v>
      </c>
      <c r="E901" s="18" t="s">
        <v>937</v>
      </c>
      <c r="F901" s="155" t="str">
        <f>IF(wskakunin_BUILD__address="", "", wskakunin_BUILD__address)</f>
        <v>埼玉県</v>
      </c>
      <c r="G901" s="19"/>
      <c r="H901" s="19"/>
    </row>
    <row r="902" spans="1:8" ht="15" customHeight="1" x14ac:dyDescent="0.15">
      <c r="A902" s="85"/>
      <c r="B902" s="152" t="s">
        <v>1272</v>
      </c>
      <c r="C902" s="18" t="s">
        <v>938</v>
      </c>
      <c r="D902" s="155" t="s">
        <v>2858</v>
      </c>
      <c r="E902" s="18" t="s">
        <v>939</v>
      </c>
      <c r="F902" s="155" t="str">
        <f>IF(wskakunin_BUILD_KEN__ken="","",wskakunin_BUILD_KEN__ken)</f>
        <v>埼玉県</v>
      </c>
      <c r="G902" s="19"/>
      <c r="H902" s="19"/>
    </row>
    <row r="903" spans="1:8" ht="15" customHeight="1" x14ac:dyDescent="0.15">
      <c r="A903" s="85"/>
      <c r="B903" s="152" t="s">
        <v>1273</v>
      </c>
      <c r="C903" s="18" t="s">
        <v>1270</v>
      </c>
      <c r="D903" s="155"/>
      <c r="E903" s="18" t="s">
        <v>1271</v>
      </c>
      <c r="F903" s="155" t="str">
        <f>IF(wskakunin_BUILD_ADDRESS="","",wskakunin_BUILD_ADDRESS)</f>
        <v/>
      </c>
      <c r="G903" s="19"/>
      <c r="H903" s="19"/>
    </row>
    <row r="904" spans="1:8" ht="15" customHeight="1" x14ac:dyDescent="0.15">
      <c r="A904" s="86"/>
      <c r="B904" s="87"/>
      <c r="D904" s="19"/>
      <c r="F904" s="19"/>
      <c r="G904" s="19"/>
      <c r="H904" s="19"/>
    </row>
    <row r="905" spans="1:8" ht="15" customHeight="1" x14ac:dyDescent="0.15">
      <c r="A905" s="48" t="s">
        <v>507</v>
      </c>
      <c r="B905" s="51"/>
      <c r="G905" s="19"/>
      <c r="H905" s="19"/>
    </row>
    <row r="906" spans="1:8" ht="15" customHeight="1" x14ac:dyDescent="0.15">
      <c r="A906" s="85"/>
      <c r="B906" s="79" t="s">
        <v>9</v>
      </c>
      <c r="C906" s="18" t="s">
        <v>1274</v>
      </c>
      <c r="D906" s="46"/>
      <c r="E906" s="18" t="s">
        <v>1276</v>
      </c>
      <c r="F906" s="46" t="str">
        <f>IF(wskakunin_BUILD_JYUKYO__address="","",wskakunin_BUILD_JYUKYO__address)</f>
        <v/>
      </c>
      <c r="G906" s="19"/>
      <c r="H906" s="19"/>
    </row>
    <row r="907" spans="1:8" ht="15" customHeight="1" x14ac:dyDescent="0.15">
      <c r="A907" s="85"/>
      <c r="B907" s="152" t="s">
        <v>1272</v>
      </c>
      <c r="C907" s="18" t="s">
        <v>1275</v>
      </c>
      <c r="D907" s="46"/>
      <c r="E907" s="18" t="s">
        <v>1277</v>
      </c>
      <c r="F907" s="46" t="str">
        <f>IF(wskakunin_BUILD_JYUKYO_KEN__ken="","",wskakunin_BUILD_JYUKYO_KEN__ken)</f>
        <v/>
      </c>
      <c r="G907" s="19"/>
      <c r="H907" s="19"/>
    </row>
    <row r="908" spans="1:8" ht="15" customHeight="1" x14ac:dyDescent="0.15">
      <c r="A908" s="85"/>
      <c r="B908" s="152" t="s">
        <v>1273</v>
      </c>
      <c r="C908" s="18" t="s">
        <v>940</v>
      </c>
      <c r="D908" s="155"/>
      <c r="E908" s="18" t="s">
        <v>941</v>
      </c>
      <c r="F908" s="155" t="str">
        <f>IF(wskakunin_BUILD_JYUKYO_ADDRESS="","",wskakunin_BUILD_JYUKYO_ADDRESS)</f>
        <v/>
      </c>
      <c r="G908" s="19"/>
      <c r="H908" s="19"/>
    </row>
    <row r="909" spans="1:8" ht="15" customHeight="1" x14ac:dyDescent="0.15">
      <c r="A909" s="86"/>
      <c r="B909" s="87"/>
      <c r="D909" s="19"/>
      <c r="F909" s="19"/>
      <c r="G909" s="19"/>
      <c r="H909" s="19"/>
    </row>
    <row r="910" spans="1:8" ht="15" customHeight="1" x14ac:dyDescent="0.15">
      <c r="A910" s="1" t="s">
        <v>942</v>
      </c>
      <c r="B910" s="51"/>
      <c r="G910" s="19"/>
      <c r="H910" s="19"/>
    </row>
    <row r="911" spans="1:8" ht="15" customHeight="1" x14ac:dyDescent="0.15">
      <c r="A911" s="11"/>
      <c r="B911" s="79" t="s">
        <v>365</v>
      </c>
      <c r="C911" s="18" t="s">
        <v>943</v>
      </c>
      <c r="D911" s="155"/>
      <c r="E911" s="18" t="s">
        <v>944</v>
      </c>
      <c r="F911" s="155" t="str">
        <f>IF(wskakunin_KUIKI_TOSI=1,"■","□")</f>
        <v>□</v>
      </c>
      <c r="H911" s="19"/>
    </row>
    <row r="912" spans="1:8" ht="15" customHeight="1" x14ac:dyDescent="0.15">
      <c r="A912" s="11"/>
      <c r="B912" s="79" t="s">
        <v>51</v>
      </c>
      <c r="C912" s="18" t="s">
        <v>945</v>
      </c>
      <c r="D912" s="155"/>
      <c r="E912" s="18" t="s">
        <v>946</v>
      </c>
      <c r="F912" s="155" t="str">
        <f>IF(wskakunin__kuiki="", "", wskakunin__kuiki)</f>
        <v/>
      </c>
      <c r="G912" s="19"/>
      <c r="H912" s="19"/>
    </row>
    <row r="913" spans="1:8" ht="15" customHeight="1" x14ac:dyDescent="0.15">
      <c r="A913" s="225"/>
      <c r="B913" s="79"/>
      <c r="D913" s="19"/>
      <c r="E913" s="18" t="s">
        <v>2627</v>
      </c>
      <c r="F913" s="155" t="str">
        <f>IF(cst_wskakunin__kuiki="都市計画区域内","■","□")</f>
        <v>□</v>
      </c>
      <c r="G913" s="19"/>
      <c r="H913" s="19"/>
    </row>
    <row r="914" spans="1:8" ht="15" customHeight="1" x14ac:dyDescent="0.15">
      <c r="A914" s="11"/>
      <c r="B914" s="79" t="s">
        <v>369</v>
      </c>
      <c r="C914" s="18" t="s">
        <v>947</v>
      </c>
      <c r="D914" s="155"/>
      <c r="E914" s="18" t="s">
        <v>948</v>
      </c>
      <c r="F914" s="155" t="str">
        <f>IF(wskakunin_KUIKI_SIGAIKA=1,"■","□")</f>
        <v>□</v>
      </c>
      <c r="G914" s="19"/>
      <c r="H914" s="19"/>
    </row>
    <row r="915" spans="1:8" ht="15" customHeight="1" x14ac:dyDescent="0.15">
      <c r="A915" s="11"/>
      <c r="B915" s="79" t="s">
        <v>368</v>
      </c>
      <c r="C915" s="18" t="s">
        <v>949</v>
      </c>
      <c r="D915" s="155"/>
      <c r="E915" s="18" t="s">
        <v>950</v>
      </c>
      <c r="F915" s="155" t="str">
        <f>IF(wskakunin__tosi_kuiki="", "", wskakunin__tosi_kuiki)</f>
        <v/>
      </c>
      <c r="G915" s="19"/>
      <c r="H915" s="19"/>
    </row>
    <row r="916" spans="1:8" ht="15" customHeight="1" x14ac:dyDescent="0.15">
      <c r="A916" s="11"/>
      <c r="B916" s="79" t="s">
        <v>370</v>
      </c>
      <c r="C916" s="18" t="s">
        <v>951</v>
      </c>
      <c r="D916" s="155"/>
      <c r="E916" s="18" t="s">
        <v>952</v>
      </c>
      <c r="F916" s="155" t="str">
        <f>IF(wskakunin_KUIKI_TYOSEI=1,"■","□")</f>
        <v>□</v>
      </c>
      <c r="H916" s="19"/>
    </row>
    <row r="917" spans="1:8" ht="15" customHeight="1" x14ac:dyDescent="0.15">
      <c r="A917" s="11"/>
      <c r="B917" s="79" t="s">
        <v>371</v>
      </c>
      <c r="C917" s="18" t="s">
        <v>953</v>
      </c>
      <c r="D917" s="155"/>
      <c r="E917" s="18" t="s">
        <v>954</v>
      </c>
      <c r="F917" s="155" t="str">
        <f>IF(wskakunin_KUIKI_HISETTEI=1,"■","□")</f>
        <v>□</v>
      </c>
      <c r="H917" s="19"/>
    </row>
    <row r="918" spans="1:8" ht="15" customHeight="1" x14ac:dyDescent="0.15">
      <c r="A918" s="11"/>
      <c r="B918" s="79" t="s">
        <v>366</v>
      </c>
      <c r="C918" s="18" t="s">
        <v>955</v>
      </c>
      <c r="D918" s="155"/>
      <c r="E918" s="18" t="s">
        <v>956</v>
      </c>
      <c r="F918" s="155" t="str">
        <f>IF(wskakunin_KUIKI_JYUN_TOSHI=1,"■","□")</f>
        <v>□</v>
      </c>
      <c r="H918" s="19"/>
    </row>
    <row r="919" spans="1:8" ht="15" customHeight="1" x14ac:dyDescent="0.15">
      <c r="A919" s="11"/>
      <c r="B919" s="76" t="s">
        <v>367</v>
      </c>
      <c r="C919" s="18" t="s">
        <v>957</v>
      </c>
      <c r="D919" s="155"/>
      <c r="E919" s="18" t="s">
        <v>958</v>
      </c>
      <c r="F919" s="155" t="str">
        <f>IF(wskakunin_KUIKI_KUIKIGAI=1,"■","□")</f>
        <v>□</v>
      </c>
      <c r="H919" s="19"/>
    </row>
    <row r="920" spans="1:8" ht="15" customHeight="1" x14ac:dyDescent="0.15">
      <c r="A920" s="12"/>
      <c r="B920" s="77"/>
      <c r="D920" s="19"/>
      <c r="F920" s="19"/>
      <c r="H920" s="19"/>
    </row>
    <row r="921" spans="1:8" ht="15" customHeight="1" x14ac:dyDescent="0.15">
      <c r="A921" s="1" t="s">
        <v>508</v>
      </c>
      <c r="B921" s="30"/>
      <c r="C921" s="18" t="s">
        <v>959</v>
      </c>
      <c r="D921" s="155"/>
      <c r="E921" s="18" t="s">
        <v>960</v>
      </c>
      <c r="F921" s="155" t="str">
        <f>IF(wskakunin__bouka="", "", wskakunin__bouka)</f>
        <v/>
      </c>
      <c r="H921" s="19"/>
    </row>
    <row r="922" spans="1:8" ht="15" customHeight="1" x14ac:dyDescent="0.15">
      <c r="A922" s="11"/>
      <c r="B922" s="73" t="s">
        <v>372</v>
      </c>
      <c r="C922" s="18" t="s">
        <v>961</v>
      </c>
      <c r="D922" s="155"/>
      <c r="E922" s="18" t="s">
        <v>962</v>
      </c>
      <c r="F922" s="155" t="str">
        <f>IF(wskakunin_BOUKA_BOUKA=1,"■","□")</f>
        <v>□</v>
      </c>
      <c r="H922" s="19"/>
    </row>
    <row r="923" spans="1:8" ht="15" customHeight="1" x14ac:dyDescent="0.15">
      <c r="A923" s="11"/>
      <c r="B923" s="73" t="s">
        <v>373</v>
      </c>
      <c r="C923" s="18" t="s">
        <v>963</v>
      </c>
      <c r="D923" s="155"/>
      <c r="E923" s="18" t="s">
        <v>964</v>
      </c>
      <c r="F923" s="155" t="str">
        <f>IF(wskakunin_BOUKA_JYUN_BOUKA=1,"■","□")</f>
        <v>□</v>
      </c>
      <c r="H923" s="19"/>
    </row>
    <row r="924" spans="1:8" ht="15" customHeight="1" x14ac:dyDescent="0.15">
      <c r="A924" s="11"/>
      <c r="B924" s="73" t="s">
        <v>133</v>
      </c>
      <c r="C924" s="18" t="s">
        <v>965</v>
      </c>
      <c r="D924" s="155"/>
      <c r="E924" s="18" t="s">
        <v>966</v>
      </c>
      <c r="F924" s="155" t="str">
        <f>IF(wskakunin_BOUKA_NASI=1,"■","□")</f>
        <v>□</v>
      </c>
      <c r="H924" s="19"/>
    </row>
    <row r="925" spans="1:8" ht="15" customHeight="1" x14ac:dyDescent="0.15">
      <c r="A925" s="11"/>
      <c r="B925" s="73" t="s">
        <v>374</v>
      </c>
      <c r="C925" s="18" t="s">
        <v>967</v>
      </c>
      <c r="D925" s="155"/>
      <c r="E925" s="18" t="s">
        <v>968</v>
      </c>
      <c r="F925" s="155" t="str">
        <f>IF(wskakunin_BOUKA_22JYO=1,"■","□")</f>
        <v>□</v>
      </c>
      <c r="H925" s="19"/>
    </row>
    <row r="926" spans="1:8" ht="15" customHeight="1" x14ac:dyDescent="0.15">
      <c r="A926" s="12"/>
      <c r="B926" s="74"/>
      <c r="D926" s="19"/>
      <c r="F926" s="19"/>
      <c r="H926" s="19"/>
    </row>
    <row r="927" spans="1:8" ht="15" customHeight="1" x14ac:dyDescent="0.15">
      <c r="A927" s="1" t="s">
        <v>509</v>
      </c>
      <c r="B927" s="30"/>
      <c r="C927" s="18" t="s">
        <v>969</v>
      </c>
      <c r="D927" s="155"/>
      <c r="E927" s="18" t="s">
        <v>970</v>
      </c>
      <c r="F927" s="155" t="str">
        <f>IF(wskakunin_SONOTA_KUIKI="","",wskakunin_SONOTA_KUIKI)</f>
        <v/>
      </c>
      <c r="H927" s="19"/>
    </row>
    <row r="928" spans="1:8" ht="15" customHeight="1" x14ac:dyDescent="0.15">
      <c r="A928" s="12"/>
      <c r="B928" s="65"/>
      <c r="H928" s="19"/>
    </row>
    <row r="929" spans="1:8" ht="15" customHeight="1" x14ac:dyDescent="0.15">
      <c r="A929" s="29" t="s">
        <v>510</v>
      </c>
      <c r="B929" s="29"/>
      <c r="D929" s="19"/>
      <c r="F929" s="19"/>
      <c r="H929" s="19"/>
    </row>
    <row r="930" spans="1:8" ht="15" customHeight="1" x14ac:dyDescent="0.15">
      <c r="A930" s="29"/>
      <c r="B930" s="73" t="s">
        <v>511</v>
      </c>
      <c r="C930" s="18" t="s">
        <v>971</v>
      </c>
      <c r="D930" s="258"/>
      <c r="E930" s="18" t="s">
        <v>972</v>
      </c>
      <c r="F930" s="258" t="str">
        <f>IF(wskakunin_DOURO_FUKUIN="","",wskakunin_DOURO_FUKUIN)</f>
        <v/>
      </c>
      <c r="H930" s="19"/>
    </row>
    <row r="931" spans="1:8" ht="15" customHeight="1" x14ac:dyDescent="0.15">
      <c r="A931" s="29"/>
      <c r="B931" s="73" t="s">
        <v>512</v>
      </c>
      <c r="C931" s="18" t="s">
        <v>973</v>
      </c>
      <c r="D931" s="258"/>
      <c r="E931" s="18" t="s">
        <v>974</v>
      </c>
      <c r="F931" s="258" t="str">
        <f>IF(wskakunin_DOURO_NAGASA="","",wskakunin_DOURO_NAGASA)</f>
        <v/>
      </c>
      <c r="H931" s="19"/>
    </row>
    <row r="932" spans="1:8" ht="15" customHeight="1" x14ac:dyDescent="0.15">
      <c r="A932" s="29"/>
      <c r="B932" s="74"/>
      <c r="D932" s="19"/>
      <c r="F932" s="19"/>
      <c r="H932" s="19"/>
    </row>
    <row r="933" spans="1:8" ht="15" customHeight="1" x14ac:dyDescent="0.15">
      <c r="A933" s="69" t="s">
        <v>513</v>
      </c>
      <c r="B933" s="70"/>
      <c r="D933" s="19"/>
      <c r="F933" s="19"/>
      <c r="H933" s="19"/>
    </row>
    <row r="934" spans="1:8" ht="15" customHeight="1" x14ac:dyDescent="0.15">
      <c r="A934" s="47" t="s">
        <v>620</v>
      </c>
      <c r="B934" s="71"/>
      <c r="D934" s="19"/>
      <c r="F934" s="19"/>
      <c r="H934" s="19"/>
    </row>
    <row r="935" spans="1:8" ht="15" customHeight="1" x14ac:dyDescent="0.15">
      <c r="A935" s="11"/>
      <c r="B935" s="73" t="s">
        <v>975</v>
      </c>
      <c r="C935" s="18" t="s">
        <v>976</v>
      </c>
      <c r="D935" s="259"/>
      <c r="E935" s="18" t="s">
        <v>977</v>
      </c>
      <c r="F935" s="259" t="str">
        <f>IF(wskakunin_SHIKITI_MENSEKI_1A="","",wskakunin_SHIKITI_MENSEKI_1A)</f>
        <v/>
      </c>
      <c r="H935" s="19"/>
    </row>
    <row r="936" spans="1:8" ht="15" customHeight="1" x14ac:dyDescent="0.15">
      <c r="A936" s="11"/>
      <c r="B936" s="73" t="s">
        <v>978</v>
      </c>
      <c r="C936" s="18" t="s">
        <v>979</v>
      </c>
      <c r="D936" s="259"/>
      <c r="E936" s="18" t="s">
        <v>980</v>
      </c>
      <c r="F936" s="259" t="str">
        <f>IF(wskakunin_SHIKITI_MENSEKI_1B="","",wskakunin_SHIKITI_MENSEKI_1B)</f>
        <v/>
      </c>
      <c r="H936" s="19"/>
    </row>
    <row r="937" spans="1:8" ht="15" customHeight="1" x14ac:dyDescent="0.15">
      <c r="A937" s="11"/>
      <c r="B937" s="73" t="s">
        <v>981</v>
      </c>
      <c r="C937" s="18" t="s">
        <v>982</v>
      </c>
      <c r="D937" s="259"/>
      <c r="E937" s="18" t="s">
        <v>983</v>
      </c>
      <c r="F937" s="259" t="str">
        <f>IF(wskakunin_SHIKITI_MENSEKI_1C="","",wskakunin_SHIKITI_MENSEKI_1C)</f>
        <v/>
      </c>
      <c r="H937" s="19"/>
    </row>
    <row r="938" spans="1:8" ht="15" customHeight="1" x14ac:dyDescent="0.15">
      <c r="A938" s="11"/>
      <c r="B938" s="73" t="s">
        <v>984</v>
      </c>
      <c r="C938" s="18" t="s">
        <v>985</v>
      </c>
      <c r="D938" s="259"/>
      <c r="E938" s="18" t="s">
        <v>986</v>
      </c>
      <c r="F938" s="259" t="str">
        <f>IF(wskakunin_SHIKITI_MENSEKI_1D="","",wskakunin_SHIKITI_MENSEKI_1D)</f>
        <v/>
      </c>
      <c r="H938" s="19"/>
    </row>
    <row r="939" spans="1:8" ht="15" customHeight="1" x14ac:dyDescent="0.15">
      <c r="A939" s="11"/>
      <c r="B939" s="73" t="s">
        <v>987</v>
      </c>
      <c r="C939" s="18" t="s">
        <v>988</v>
      </c>
      <c r="D939" s="259"/>
      <c r="E939" s="18" t="s">
        <v>989</v>
      </c>
      <c r="F939" s="259" t="str">
        <f>IF(wskakunin_SHIKITI_MENSEKI_2A="","",wskakunin_SHIKITI_MENSEKI_2A)</f>
        <v/>
      </c>
      <c r="H939" s="19"/>
    </row>
    <row r="940" spans="1:8" ht="15" customHeight="1" x14ac:dyDescent="0.15">
      <c r="A940" s="11"/>
      <c r="B940" s="73" t="s">
        <v>990</v>
      </c>
      <c r="C940" s="18" t="s">
        <v>991</v>
      </c>
      <c r="D940" s="259"/>
      <c r="E940" s="18" t="s">
        <v>992</v>
      </c>
      <c r="F940" s="259" t="str">
        <f>IF(wskakunin_SHIKITI_MENSEKI_2B="","",wskakunin_SHIKITI_MENSEKI_2B)</f>
        <v/>
      </c>
      <c r="H940" s="19"/>
    </row>
    <row r="941" spans="1:8" ht="15" customHeight="1" x14ac:dyDescent="0.15">
      <c r="A941" s="11"/>
      <c r="B941" s="73" t="s">
        <v>993</v>
      </c>
      <c r="C941" s="18" t="s">
        <v>994</v>
      </c>
      <c r="D941" s="259"/>
      <c r="E941" s="18" t="s">
        <v>995</v>
      </c>
      <c r="F941" s="259" t="str">
        <f>IF(wskakunin_SHIKITI_MENSEKI_2C="","",wskakunin_SHIKITI_MENSEKI_2C)</f>
        <v/>
      </c>
      <c r="H941" s="19"/>
    </row>
    <row r="942" spans="1:8" ht="15" customHeight="1" x14ac:dyDescent="0.15">
      <c r="A942" s="11"/>
      <c r="B942" s="45" t="s">
        <v>996</v>
      </c>
      <c r="C942" s="18" t="s">
        <v>997</v>
      </c>
      <c r="D942" s="259"/>
      <c r="E942" s="18" t="s">
        <v>998</v>
      </c>
      <c r="F942" s="259" t="str">
        <f>IF(wskakunin_SHIKITI_MENSEKI_2D="","",wskakunin_SHIKITI_MENSEKI_2D)</f>
        <v/>
      </c>
      <c r="H942" s="19"/>
    </row>
    <row r="943" spans="1:8" ht="15" customHeight="1" x14ac:dyDescent="0.15">
      <c r="A943" s="47" t="s">
        <v>134</v>
      </c>
      <c r="B943" s="71"/>
      <c r="D943" s="19"/>
      <c r="F943" s="19"/>
      <c r="H943" s="19"/>
    </row>
    <row r="944" spans="1:8" ht="15" customHeight="1" x14ac:dyDescent="0.15">
      <c r="A944" s="11"/>
      <c r="B944" s="73" t="s">
        <v>999</v>
      </c>
      <c r="C944" s="18" t="s">
        <v>1000</v>
      </c>
      <c r="D944" s="155"/>
      <c r="E944" s="18" t="s">
        <v>1001</v>
      </c>
      <c r="F944" s="155" t="str">
        <f>IF(wskakunin_YOUTO_TIIKI_A="", "", wskakunin_YOUTO_TIIKI_A)</f>
        <v/>
      </c>
      <c r="H944" s="19"/>
    </row>
    <row r="945" spans="1:8" ht="15" customHeight="1" x14ac:dyDescent="0.15">
      <c r="A945" s="11"/>
      <c r="B945" s="73" t="s">
        <v>1002</v>
      </c>
      <c r="C945" s="18" t="s">
        <v>1003</v>
      </c>
      <c r="D945" s="155"/>
      <c r="E945" s="18" t="s">
        <v>1004</v>
      </c>
      <c r="F945" s="155" t="str">
        <f>IF(wskakunin_YOUTO_TIIKI_B="","",wskakunin_YOUTO_TIIKI_B)</f>
        <v/>
      </c>
      <c r="H945" s="19"/>
    </row>
    <row r="946" spans="1:8" ht="15" customHeight="1" x14ac:dyDescent="0.15">
      <c r="A946" s="11"/>
      <c r="B946" s="73" t="s">
        <v>1005</v>
      </c>
      <c r="C946" s="18" t="s">
        <v>1006</v>
      </c>
      <c r="D946" s="155"/>
      <c r="E946" s="18" t="s">
        <v>1007</v>
      </c>
      <c r="F946" s="155" t="str">
        <f>IF(wskakunin_YOUTO_TIIKI_C="","",wskakunin_YOUTO_TIIKI_C)</f>
        <v/>
      </c>
      <c r="H946" s="19"/>
    </row>
    <row r="947" spans="1:8" ht="15" customHeight="1" x14ac:dyDescent="0.15">
      <c r="A947" s="72"/>
      <c r="B947" s="73" t="s">
        <v>1008</v>
      </c>
      <c r="C947" s="18" t="s">
        <v>1009</v>
      </c>
      <c r="D947" s="155"/>
      <c r="E947" s="18" t="s">
        <v>1010</v>
      </c>
      <c r="F947" s="155" t="str">
        <f>IF(wskakunin_YOUTO_TIIKI_D="","",wskakunin_YOUTO_TIIKI_D)</f>
        <v/>
      </c>
      <c r="G947" s="18" t="s">
        <v>529</v>
      </c>
      <c r="H947" s="19"/>
    </row>
    <row r="948" spans="1:8" ht="15" customHeight="1" x14ac:dyDescent="0.15">
      <c r="A948" s="47" t="s">
        <v>116</v>
      </c>
      <c r="B948" s="71"/>
      <c r="D948" s="19"/>
      <c r="F948" s="19"/>
      <c r="H948" s="19"/>
    </row>
    <row r="949" spans="1:8" ht="15" customHeight="1" x14ac:dyDescent="0.15">
      <c r="A949" s="11"/>
      <c r="B949" s="73" t="s">
        <v>999</v>
      </c>
      <c r="C949" s="18" t="s">
        <v>1011</v>
      </c>
      <c r="D949" s="259"/>
      <c r="E949" s="109" t="s">
        <v>1012</v>
      </c>
      <c r="F949" s="259" t="str">
        <f>IF(wskakunin_YOUSEKI_RITU_A="","",wskakunin_YOUSEKI_RITU_A)</f>
        <v/>
      </c>
      <c r="H949" s="19"/>
    </row>
    <row r="950" spans="1:8" ht="15" customHeight="1" x14ac:dyDescent="0.15">
      <c r="A950" s="11"/>
      <c r="B950" s="73" t="s">
        <v>1002</v>
      </c>
      <c r="C950" s="18" t="s">
        <v>1013</v>
      </c>
      <c r="D950" s="259"/>
      <c r="E950" s="109" t="s">
        <v>1014</v>
      </c>
      <c r="F950" s="259" t="str">
        <f>IF(wskakunin_YOUSEKI_RITU_B="","",wskakunin_YOUSEKI_RITU_B)</f>
        <v/>
      </c>
      <c r="H950" s="19"/>
    </row>
    <row r="951" spans="1:8" ht="15" customHeight="1" x14ac:dyDescent="0.15">
      <c r="A951" s="11"/>
      <c r="B951" s="73" t="s">
        <v>1005</v>
      </c>
      <c r="C951" s="18" t="s">
        <v>1015</v>
      </c>
      <c r="D951" s="259"/>
      <c r="E951" s="109" t="s">
        <v>1016</v>
      </c>
      <c r="F951" s="259" t="str">
        <f>IF(wskakunin_YOUSEKI_RITU_C="","",wskakunin_YOUSEKI_RITU_C)</f>
        <v/>
      </c>
      <c r="H951" s="19"/>
    </row>
    <row r="952" spans="1:8" ht="15" customHeight="1" x14ac:dyDescent="0.15">
      <c r="A952" s="72"/>
      <c r="B952" s="73" t="s">
        <v>1008</v>
      </c>
      <c r="C952" s="18" t="s">
        <v>1017</v>
      </c>
      <c r="D952" s="259"/>
      <c r="E952" s="109" t="s">
        <v>1018</v>
      </c>
      <c r="F952" s="259" t="str">
        <f>IF(wskakunin_YOUSEKI_RITU_D="","",wskakunin_YOUSEKI_RITU_D)</f>
        <v/>
      </c>
      <c r="H952" s="19"/>
    </row>
    <row r="953" spans="1:8" ht="15" customHeight="1" x14ac:dyDescent="0.15">
      <c r="A953" s="47" t="s">
        <v>514</v>
      </c>
      <c r="B953" s="71"/>
      <c r="D953" s="110"/>
      <c r="E953" s="109"/>
      <c r="F953" s="110"/>
      <c r="H953" s="19"/>
    </row>
    <row r="954" spans="1:8" ht="15" customHeight="1" x14ac:dyDescent="0.15">
      <c r="A954" s="11"/>
      <c r="B954" s="73" t="s">
        <v>999</v>
      </c>
      <c r="C954" s="18" t="s">
        <v>1019</v>
      </c>
      <c r="D954" s="259"/>
      <c r="E954" s="109" t="s">
        <v>1020</v>
      </c>
      <c r="F954" s="259" t="str">
        <f>IF(wskakunin_KENPEI_RITU_A="","",wskakunin_KENPEI_RITU_A)</f>
        <v/>
      </c>
      <c r="H954" s="19"/>
    </row>
    <row r="955" spans="1:8" ht="15" customHeight="1" x14ac:dyDescent="0.15">
      <c r="A955" s="11"/>
      <c r="B955" s="73" t="s">
        <v>1002</v>
      </c>
      <c r="C955" s="18" t="s">
        <v>1021</v>
      </c>
      <c r="D955" s="259"/>
      <c r="E955" s="109" t="s">
        <v>1022</v>
      </c>
      <c r="F955" s="259" t="str">
        <f>IF(wskakunin_KENPEI_RITU_B="","",wskakunin_KENPEI_RITU_B)</f>
        <v/>
      </c>
    </row>
    <row r="956" spans="1:8" ht="15" customHeight="1" x14ac:dyDescent="0.15">
      <c r="A956" s="11"/>
      <c r="B956" s="73" t="s">
        <v>1005</v>
      </c>
      <c r="C956" s="18" t="s">
        <v>1023</v>
      </c>
      <c r="D956" s="259"/>
      <c r="E956" s="109" t="s">
        <v>1024</v>
      </c>
      <c r="F956" s="259" t="str">
        <f>IF(wskakunin_KENPEI_RITU_C="","",wskakunin_KENPEI_RITU_C)</f>
        <v/>
      </c>
    </row>
    <row r="957" spans="1:8" ht="15" customHeight="1" x14ac:dyDescent="0.15">
      <c r="A957" s="72"/>
      <c r="B957" s="73" t="s">
        <v>1008</v>
      </c>
      <c r="C957" s="18" t="s">
        <v>1025</v>
      </c>
      <c r="D957" s="259"/>
      <c r="E957" s="109" t="s">
        <v>1026</v>
      </c>
      <c r="F957" s="259" t="str">
        <f>IF(wskakunin_KENPEI_RITU_D="","",wskakunin_KENPEI_RITU_D)</f>
        <v/>
      </c>
    </row>
    <row r="958" spans="1:8" ht="15" customHeight="1" x14ac:dyDescent="0.15">
      <c r="A958" s="11" t="s">
        <v>621</v>
      </c>
      <c r="B958" s="31"/>
      <c r="D958" s="110"/>
      <c r="E958" s="109"/>
      <c r="F958" s="110"/>
    </row>
    <row r="959" spans="1:8" ht="15" customHeight="1" x14ac:dyDescent="0.15">
      <c r="A959" s="11"/>
      <c r="B959" s="73" t="s">
        <v>1027</v>
      </c>
      <c r="C959" s="18" t="s">
        <v>1028</v>
      </c>
      <c r="D959" s="259"/>
      <c r="E959" s="18" t="s">
        <v>1029</v>
      </c>
      <c r="F959" s="155" t="str">
        <f>IF(wskakunin_SHIKITI_MENSEKI_1_TOTAL="", "", wskakunin_SHIKITI_MENSEKI_1_TOTAL)</f>
        <v/>
      </c>
    </row>
    <row r="960" spans="1:8" ht="15" customHeight="1" x14ac:dyDescent="0.15">
      <c r="A960" s="11"/>
      <c r="B960" s="73" t="s">
        <v>1030</v>
      </c>
      <c r="C960" s="18" t="s">
        <v>1031</v>
      </c>
      <c r="D960" s="259"/>
      <c r="E960" s="109" t="s">
        <v>1032</v>
      </c>
      <c r="F960" s="259" t="str">
        <f>IF(wskakunin_SHIKITI_MENSEKI_2_TOTAL="","",wskakunin_SHIKITI_MENSEKI_2_TOTAL)</f>
        <v/>
      </c>
    </row>
    <row r="961" spans="1:7" ht="15" customHeight="1" x14ac:dyDescent="0.15">
      <c r="A961" s="11"/>
      <c r="B961" s="84" t="s">
        <v>1033</v>
      </c>
      <c r="C961" s="18" t="s">
        <v>1034</v>
      </c>
      <c r="D961" s="259"/>
      <c r="E961" s="109" t="s">
        <v>1035</v>
      </c>
      <c r="F961" s="259" t="str">
        <f>IF(wskakunin_LIMIT_YOUSEKI_RITU="","",wskakunin_LIMIT_YOUSEKI_RITU)</f>
        <v/>
      </c>
    </row>
    <row r="962" spans="1:7" ht="15" customHeight="1" x14ac:dyDescent="0.15">
      <c r="A962" s="11"/>
      <c r="B962" s="84" t="s">
        <v>1036</v>
      </c>
      <c r="C962" s="18" t="s">
        <v>1037</v>
      </c>
      <c r="D962" s="259"/>
      <c r="E962" s="109" t="s">
        <v>1038</v>
      </c>
      <c r="F962" s="259" t="str">
        <f>IF(wskakunin_LIMIT_KENPEI_RITU="","",wskakunin_LIMIT_KENPEI_RITU)</f>
        <v/>
      </c>
    </row>
    <row r="963" spans="1:7" ht="15" customHeight="1" x14ac:dyDescent="0.15">
      <c r="A963" s="12"/>
      <c r="B963" s="74" t="s">
        <v>399</v>
      </c>
      <c r="C963" s="18" t="s">
        <v>1039</v>
      </c>
      <c r="D963" s="155"/>
      <c r="E963" s="18" t="s">
        <v>1040</v>
      </c>
      <c r="F963" s="155" t="str">
        <f>IF(wskakunin_SHIKITI_MENSEKI_BIKOU="","",wskakunin_SHIKITI_MENSEKI_BIKOU)</f>
        <v/>
      </c>
    </row>
    <row r="964" spans="1:7" ht="15" customHeight="1" x14ac:dyDescent="0.15">
      <c r="A964" s="48" t="s">
        <v>515</v>
      </c>
      <c r="B964" s="49"/>
      <c r="D964" s="19"/>
      <c r="F964" s="19"/>
    </row>
    <row r="965" spans="1:7" ht="15" customHeight="1" x14ac:dyDescent="0.15">
      <c r="A965" s="85"/>
      <c r="B965" s="79" t="s">
        <v>1041</v>
      </c>
      <c r="C965" s="18" t="s">
        <v>1042</v>
      </c>
      <c r="D965" s="241"/>
      <c r="E965" s="18" t="s">
        <v>1043</v>
      </c>
      <c r="F965" s="241" t="str">
        <f>IF(wskakunin_YOUTO_CODE="","",wskakunin_YOUTO_CODE)</f>
        <v/>
      </c>
    </row>
    <row r="966" spans="1:7" ht="15" customHeight="1" x14ac:dyDescent="0.15">
      <c r="A966" s="85"/>
      <c r="B966" s="79" t="s">
        <v>40</v>
      </c>
      <c r="C966" s="18" t="s">
        <v>1044</v>
      </c>
      <c r="D966" s="155"/>
      <c r="E966" s="18" t="s">
        <v>1045</v>
      </c>
      <c r="F966" s="155" t="str">
        <f>IF(wskakunin_YOUTO="", "", wskakunin_YOUTO)</f>
        <v/>
      </c>
    </row>
    <row r="967" spans="1:7" ht="15" customHeight="1" x14ac:dyDescent="0.15">
      <c r="A967" s="222"/>
      <c r="B967" s="151" t="s">
        <v>2596</v>
      </c>
      <c r="C967" s="18" t="s">
        <v>2597</v>
      </c>
      <c r="D967" s="155"/>
      <c r="E967" s="18" t="s">
        <v>2598</v>
      </c>
      <c r="F967" s="155" t="str">
        <f>IF(shinsei_UNIT_COUNT="","",shinsei_UNIT_COUNT)</f>
        <v/>
      </c>
    </row>
    <row r="968" spans="1:7" ht="15" customHeight="1" x14ac:dyDescent="0.15">
      <c r="A968" s="222"/>
      <c r="B968" s="79" t="s">
        <v>2780</v>
      </c>
      <c r="D968" s="19"/>
      <c r="E968" s="18" t="s">
        <v>2782</v>
      </c>
      <c r="F968" s="155" t="str">
        <f>IF(cst_wskakunin_YOUTO="一戸建ての住宅","■","□")</f>
        <v>□</v>
      </c>
    </row>
    <row r="969" spans="1:7" ht="15" customHeight="1" x14ac:dyDescent="0.15">
      <c r="A969" s="222"/>
      <c r="B969" s="79" t="s">
        <v>2781</v>
      </c>
      <c r="D969" s="19"/>
      <c r="E969" s="18" t="s">
        <v>2783</v>
      </c>
      <c r="F969" s="155" t="str">
        <f>IF(OR(cst_wskakunin_YOUTO="",cst_wskakunin_YOUTO="一戸建ての住宅"),"□","■")</f>
        <v>□</v>
      </c>
    </row>
    <row r="970" spans="1:7" ht="15" customHeight="1" x14ac:dyDescent="0.15">
      <c r="A970" s="1" t="s">
        <v>516</v>
      </c>
      <c r="B970" s="70"/>
      <c r="D970" s="19"/>
      <c r="F970" s="19"/>
    </row>
    <row r="971" spans="1:7" ht="15" customHeight="1" x14ac:dyDescent="0.15">
      <c r="A971" s="72"/>
      <c r="B971" s="73" t="s">
        <v>2238</v>
      </c>
      <c r="C971" s="18" t="s">
        <v>1046</v>
      </c>
      <c r="D971" s="155"/>
      <c r="E971" s="18" t="s">
        <v>1047</v>
      </c>
      <c r="F971" s="155" t="str">
        <f>IF(wskakunin__kouji="", "", wskakunin__kouji)</f>
        <v/>
      </c>
    </row>
    <row r="972" spans="1:7" ht="15" customHeight="1" x14ac:dyDescent="0.15">
      <c r="A972" s="11"/>
      <c r="B972" s="73" t="s">
        <v>375</v>
      </c>
      <c r="C972" s="18" t="s">
        <v>1048</v>
      </c>
      <c r="D972" s="155"/>
      <c r="E972" s="18" t="s">
        <v>2246</v>
      </c>
      <c r="F972" s="155" t="str">
        <f>IF(wskakunin_KOUJI_SINTIKU=1,"■","□")</f>
        <v>□</v>
      </c>
    </row>
    <row r="973" spans="1:7" ht="15" customHeight="1" x14ac:dyDescent="0.15">
      <c r="A973" s="11"/>
      <c r="B973" s="73" t="s">
        <v>376</v>
      </c>
      <c r="C973" s="18" t="s">
        <v>1049</v>
      </c>
      <c r="D973" s="155"/>
      <c r="E973" s="18" t="s">
        <v>2247</v>
      </c>
      <c r="F973" s="155" t="str">
        <f>IF(wskakunin_KOUJI_ZOUTIKU=1,"■","□")</f>
        <v>□</v>
      </c>
    </row>
    <row r="974" spans="1:7" ht="15" customHeight="1" x14ac:dyDescent="0.15">
      <c r="A974" s="11"/>
      <c r="B974" s="73" t="s">
        <v>377</v>
      </c>
      <c r="C974" s="18" t="s">
        <v>1050</v>
      </c>
      <c r="D974" s="155"/>
      <c r="E974" s="18" t="s">
        <v>2248</v>
      </c>
      <c r="F974" s="155" t="str">
        <f>IF(wskakunin_KOUJI_KAITIKU=1,"■","□")</f>
        <v>□</v>
      </c>
    </row>
    <row r="975" spans="1:7" ht="15" customHeight="1" x14ac:dyDescent="0.15">
      <c r="A975" s="11"/>
      <c r="B975" s="73" t="s">
        <v>378</v>
      </c>
      <c r="C975" s="18" t="s">
        <v>1051</v>
      </c>
      <c r="D975" s="155"/>
      <c r="E975" s="18" t="s">
        <v>2249</v>
      </c>
      <c r="F975" s="155" t="str">
        <f>IF(wskakunin_KOUJI_ITEN=1,"■","□")</f>
        <v>□</v>
      </c>
    </row>
    <row r="976" spans="1:7" ht="15" customHeight="1" x14ac:dyDescent="0.15">
      <c r="A976" s="11"/>
      <c r="B976" s="73" t="s">
        <v>517</v>
      </c>
      <c r="C976" s="18" t="s">
        <v>1052</v>
      </c>
      <c r="D976" s="155"/>
      <c r="E976" s="18" t="s">
        <v>2250</v>
      </c>
      <c r="F976" s="155" t="str">
        <f>IF(wskakunin_KOUJI_YOUTOHENKOU=1,"■","□")</f>
        <v>□</v>
      </c>
      <c r="G976" s="18" t="s">
        <v>2240</v>
      </c>
    </row>
    <row r="977" spans="1:7" ht="15" customHeight="1" x14ac:dyDescent="0.15">
      <c r="A977" s="11"/>
      <c r="B977" s="73" t="s">
        <v>1053</v>
      </c>
      <c r="C977" s="18" t="s">
        <v>1054</v>
      </c>
      <c r="D977" s="155"/>
      <c r="E977" s="18" t="s">
        <v>2251</v>
      </c>
      <c r="F977" s="155" t="str">
        <f>IF(wskakunin_KOUJI_DAI_SYUUZEN=1,"■","□")</f>
        <v>□</v>
      </c>
    </row>
    <row r="978" spans="1:7" ht="15" customHeight="1" x14ac:dyDescent="0.15">
      <c r="A978" s="11"/>
      <c r="B978" s="73" t="s">
        <v>1055</v>
      </c>
      <c r="C978" s="18" t="s">
        <v>1056</v>
      </c>
      <c r="D978" s="155"/>
      <c r="E978" s="18" t="s">
        <v>2252</v>
      </c>
      <c r="F978" s="155" t="str">
        <f>IF(wskakunin_KOUJI_DAI_MOYOUGAE=1,"■","□")</f>
        <v>□</v>
      </c>
    </row>
    <row r="979" spans="1:7" ht="15" customHeight="1" x14ac:dyDescent="0.15">
      <c r="A979" s="11"/>
      <c r="B979" s="73" t="s">
        <v>1057</v>
      </c>
      <c r="C979" s="18" t="s">
        <v>1058</v>
      </c>
      <c r="D979" s="155"/>
      <c r="E979" s="18" t="s">
        <v>2637</v>
      </c>
      <c r="F979" s="155" t="str">
        <f>IF(wskakuninKOUJI_SETUBI=1,"■","□")</f>
        <v>□</v>
      </c>
      <c r="G979" s="18" t="s">
        <v>2239</v>
      </c>
    </row>
    <row r="980" spans="1:7" ht="15" customHeight="1" x14ac:dyDescent="0.15">
      <c r="A980" s="225"/>
      <c r="B980" s="278" t="s">
        <v>2778</v>
      </c>
      <c r="D980" s="19"/>
      <c r="E980" s="18" t="s">
        <v>2779</v>
      </c>
      <c r="F980" s="155" t="str">
        <f>IF(OR(cst_wskakunin_KOUJI_ZOUTIKU_box="■",cst_wskakunin_KOUJI_KAITIKU_box="■"),"■","□")</f>
        <v>□</v>
      </c>
    </row>
    <row r="981" spans="1:7" ht="15" customHeight="1" x14ac:dyDescent="0.15">
      <c r="A981" s="72"/>
      <c r="B981" s="73"/>
    </row>
    <row r="982" spans="1:7" ht="15" customHeight="1" x14ac:dyDescent="0.15">
      <c r="A982" s="11" t="s">
        <v>2422</v>
      </c>
      <c r="B982" s="143"/>
      <c r="E982" s="157"/>
      <c r="F982" s="157"/>
    </row>
    <row r="983" spans="1:7" ht="15" customHeight="1" x14ac:dyDescent="0.15">
      <c r="A983" s="11"/>
      <c r="B983" s="153" t="s">
        <v>2421</v>
      </c>
      <c r="C983" s="18" t="s">
        <v>2423</v>
      </c>
      <c r="D983" s="155"/>
      <c r="E983" s="18" t="s">
        <v>2427</v>
      </c>
      <c r="F983" s="155" t="str">
        <f>IF(wskakunin_gaiyou1_WORK_SYURUI_CODE="","",wskakunin_gaiyou1_WORK_SYURUI_CODE)</f>
        <v/>
      </c>
    </row>
    <row r="984" spans="1:7" ht="15" customHeight="1" x14ac:dyDescent="0.15">
      <c r="A984" s="11"/>
      <c r="B984" s="153" t="s">
        <v>2431</v>
      </c>
      <c r="C984" s="18" t="s">
        <v>2424</v>
      </c>
      <c r="D984" s="155"/>
      <c r="E984" s="18" t="s">
        <v>2428</v>
      </c>
      <c r="F984" s="155" t="str">
        <f>IF(wskakunin_gaiyou1_WORK_SYURUI="","",wskakunin_gaiyou1_WORK_SYURUI)</f>
        <v/>
      </c>
    </row>
    <row r="985" spans="1:7" ht="15" customHeight="1" x14ac:dyDescent="0.15">
      <c r="A985" s="11"/>
      <c r="B985" s="153" t="s">
        <v>2432</v>
      </c>
      <c r="C985" s="18" t="s">
        <v>2425</v>
      </c>
      <c r="D985" s="155"/>
      <c r="E985" s="18" t="s">
        <v>2429</v>
      </c>
      <c r="F985" s="155" t="str">
        <f>IF(wskakunin_gaiyou1_TAKASA="","",wskakunin_gaiyou1_TAKASA)</f>
        <v/>
      </c>
    </row>
    <row r="986" spans="1:7" ht="15" customHeight="1" x14ac:dyDescent="0.15">
      <c r="A986" s="11"/>
      <c r="B986" s="153" t="s">
        <v>22</v>
      </c>
      <c r="C986" s="18" t="s">
        <v>2426</v>
      </c>
      <c r="D986" s="155"/>
      <c r="E986" s="18" t="s">
        <v>2430</v>
      </c>
      <c r="F986" s="155" t="str">
        <f>IF(wskakunin_gaiyou1_KOUZOU="","",wskakunin_gaiyou1_KOUZOU)</f>
        <v/>
      </c>
    </row>
    <row r="987" spans="1:7" ht="15" customHeight="1" x14ac:dyDescent="0.15">
      <c r="A987" s="11"/>
      <c r="B987" s="76" t="s">
        <v>2562</v>
      </c>
      <c r="C987" s="18" t="s">
        <v>2563</v>
      </c>
      <c r="D987" s="46"/>
      <c r="E987" s="18" t="s">
        <v>2564</v>
      </c>
      <c r="F987" s="46" t="str">
        <f>IF(wskakunin_gaiyou1_KOUJI_SINTIKU=1,"■","□")</f>
        <v>□</v>
      </c>
    </row>
    <row r="988" spans="1:7" ht="15" customHeight="1" x14ac:dyDescent="0.15">
      <c r="A988" s="11"/>
      <c r="B988" s="76" t="s">
        <v>2565</v>
      </c>
      <c r="C988" s="18" t="s">
        <v>2566</v>
      </c>
      <c r="D988" s="46"/>
      <c r="E988" s="18" t="s">
        <v>2567</v>
      </c>
      <c r="F988" s="46" t="str">
        <f>IF(wskakunin_gaiyou1_KOUJI_ZOUTIKU=1,"■","□")</f>
        <v>□</v>
      </c>
    </row>
    <row r="989" spans="1:7" ht="15" customHeight="1" x14ac:dyDescent="0.15">
      <c r="A989" s="11"/>
      <c r="B989" s="76" t="s">
        <v>2568</v>
      </c>
      <c r="C989" s="18" t="s">
        <v>2569</v>
      </c>
      <c r="D989" s="46"/>
      <c r="E989" s="18" t="s">
        <v>2570</v>
      </c>
      <c r="F989" s="46" t="str">
        <f>IF(wskakunin_gaiyou1_KOUJI_KAITIKU=1,"■","□")</f>
        <v>□</v>
      </c>
    </row>
    <row r="990" spans="1:7" ht="15" customHeight="1" x14ac:dyDescent="0.15">
      <c r="A990" s="11"/>
      <c r="B990" s="76" t="s">
        <v>2571</v>
      </c>
      <c r="C990" s="18" t="s">
        <v>2572</v>
      </c>
      <c r="D990" s="46"/>
      <c r="E990" s="18" t="s">
        <v>2573</v>
      </c>
      <c r="F990" s="46" t="str">
        <f>IF(wskakunin_gaiyou1_KOUJI_SONOTA=1,"■","□")</f>
        <v>□</v>
      </c>
    </row>
    <row r="991" spans="1:7" ht="15" customHeight="1" x14ac:dyDescent="0.15">
      <c r="A991" s="11"/>
      <c r="B991" s="76" t="s">
        <v>2574</v>
      </c>
      <c r="C991" s="18" t="s">
        <v>2575</v>
      </c>
      <c r="D991" s="46"/>
      <c r="E991" s="18" t="s">
        <v>2576</v>
      </c>
      <c r="F991" s="46" t="str">
        <f>IF(wskakunin_gaiyou1_KOUJI_SONOTA_TEXT="","",wskakunin_gaiyou1_KOUJI_SONOTA_TEXT)</f>
        <v/>
      </c>
    </row>
    <row r="992" spans="1:7" ht="15" customHeight="1" x14ac:dyDescent="0.15">
      <c r="A992" s="11"/>
      <c r="B992" s="153"/>
      <c r="D992" s="19"/>
      <c r="F992" s="19"/>
    </row>
    <row r="993" spans="1:6" ht="15" customHeight="1" x14ac:dyDescent="0.15">
      <c r="A993" s="11"/>
      <c r="B993" s="153" t="s">
        <v>2462</v>
      </c>
      <c r="C993" s="18" t="s">
        <v>2468</v>
      </c>
      <c r="D993" s="155"/>
      <c r="E993" s="18" t="s">
        <v>2474</v>
      </c>
      <c r="F993" s="155" t="str">
        <f>IF(wskakunin_gaiyou1_TIKUZOU_MENSEKI_SHINSEI="","",wskakunin_gaiyou1_TIKUZOU_MENSEKI_SHINSEI)</f>
        <v/>
      </c>
    </row>
    <row r="994" spans="1:6" ht="15" customHeight="1" x14ac:dyDescent="0.15">
      <c r="A994" s="11"/>
      <c r="B994" s="153" t="s">
        <v>2463</v>
      </c>
      <c r="C994" s="18" t="s">
        <v>2469</v>
      </c>
      <c r="D994" s="155"/>
      <c r="E994" s="18" t="s">
        <v>2475</v>
      </c>
      <c r="F994" s="155" t="str">
        <f>IF(wskakunin_gaiyou1_TIKUZOU_MENSEKI_IGAI="","",wskakunin_gaiyou1_TIKUZOU_MENSEKI_IGAI)</f>
        <v/>
      </c>
    </row>
    <row r="995" spans="1:6" ht="15" customHeight="1" x14ac:dyDescent="0.15">
      <c r="A995" s="11"/>
      <c r="B995" s="153" t="s">
        <v>2464</v>
      </c>
      <c r="C995" s="18" t="s">
        <v>2470</v>
      </c>
      <c r="D995" s="155"/>
      <c r="E995" s="18" t="s">
        <v>2476</v>
      </c>
      <c r="F995" s="155" t="str">
        <f>IF(wskakunin_gaiyou1_TIKUZOU_MENSEKI_TOTAL="","",wskakunin_gaiyou1_TIKUZOU_MENSEKI_TOTAL)</f>
        <v/>
      </c>
    </row>
    <row r="996" spans="1:6" ht="15" customHeight="1" x14ac:dyDescent="0.15">
      <c r="A996" s="11"/>
      <c r="B996" s="153" t="s">
        <v>2465</v>
      </c>
      <c r="C996" s="18" t="s">
        <v>2471</v>
      </c>
      <c r="D996" s="155"/>
      <c r="E996" s="18" t="s">
        <v>2477</v>
      </c>
      <c r="F996" s="155" t="str">
        <f>IF(wskakunin_gaiyou1_WORK_COUNT_SHINSEI="","",wskakunin_gaiyou1_WORK_COUNT_SHINSEI)</f>
        <v/>
      </c>
    </row>
    <row r="997" spans="1:6" ht="15" customHeight="1" x14ac:dyDescent="0.15">
      <c r="A997" s="11"/>
      <c r="B997" s="153" t="s">
        <v>2466</v>
      </c>
      <c r="C997" s="18" t="s">
        <v>2472</v>
      </c>
      <c r="D997" s="155"/>
      <c r="E997" s="18" t="s">
        <v>2478</v>
      </c>
      <c r="F997" s="155" t="str">
        <f>IF(wskakunin_gaiyou1_WORK_COUNT_IGAI="","",wskakunin_gaiyou1_WORK_COUNT_IGAI)</f>
        <v/>
      </c>
    </row>
    <row r="998" spans="1:6" ht="15" customHeight="1" x14ac:dyDescent="0.15">
      <c r="A998" s="11"/>
      <c r="B998" s="153" t="s">
        <v>2467</v>
      </c>
      <c r="C998" s="18" t="s">
        <v>2473</v>
      </c>
      <c r="D998" s="155"/>
      <c r="E998" s="18" t="s">
        <v>2479</v>
      </c>
      <c r="F998" s="155" t="str">
        <f>IF(wskakunin_gaiyou1_WORK_COUNT_TOTAL="","",wskakunin_gaiyou1_WORK_COUNT_TOTAL)</f>
        <v/>
      </c>
    </row>
    <row r="999" spans="1:6" ht="15" customHeight="1" x14ac:dyDescent="0.15">
      <c r="A999" s="144"/>
      <c r="B999" s="146"/>
      <c r="D999" s="19"/>
    </row>
    <row r="1000" spans="1:6" ht="15" customHeight="1" x14ac:dyDescent="0.15">
      <c r="A1000" s="11" t="s">
        <v>2433</v>
      </c>
      <c r="B1000" s="143"/>
      <c r="D1000" s="19"/>
    </row>
    <row r="1001" spans="1:6" ht="15" customHeight="1" x14ac:dyDescent="0.15">
      <c r="A1001" s="11"/>
      <c r="B1001" s="153" t="s">
        <v>2434</v>
      </c>
      <c r="C1001" s="18" t="s">
        <v>2443</v>
      </c>
      <c r="D1001" s="155"/>
      <c r="E1001" s="18" t="s">
        <v>2452</v>
      </c>
      <c r="F1001" s="155" t="str">
        <f>IF(wskakunin_gaiyou1_NO="","",wskakunin_gaiyou1_NO)</f>
        <v/>
      </c>
    </row>
    <row r="1002" spans="1:6" ht="15" customHeight="1" x14ac:dyDescent="0.15">
      <c r="A1002" s="11"/>
      <c r="B1002" s="153" t="s">
        <v>2435</v>
      </c>
      <c r="C1002" s="18" t="s">
        <v>2444</v>
      </c>
      <c r="D1002" s="155"/>
      <c r="E1002" s="18" t="s">
        <v>2453</v>
      </c>
      <c r="F1002" s="155" t="str">
        <f>IF(wskakunin_gaiyou1_EV_KIND="","",wskakunin_gaiyou1_EV_KIND)</f>
        <v/>
      </c>
    </row>
    <row r="1003" spans="1:6" ht="15" customHeight="1" x14ac:dyDescent="0.15">
      <c r="A1003" s="11"/>
      <c r="B1003" s="153" t="s">
        <v>2436</v>
      </c>
      <c r="C1003" s="18" t="s">
        <v>2445</v>
      </c>
      <c r="D1003" s="155"/>
      <c r="E1003" s="18" t="s">
        <v>2454</v>
      </c>
      <c r="F1003" s="155" t="str">
        <f>IF(wskakunin_gaiyou1_YOUTO="","",wskakunin_gaiyou1_YOUTO)</f>
        <v/>
      </c>
    </row>
    <row r="1004" spans="1:6" ht="15" customHeight="1" x14ac:dyDescent="0.15">
      <c r="A1004" s="11"/>
      <c r="B1004" s="153" t="s">
        <v>2437</v>
      </c>
      <c r="C1004" s="18" t="s">
        <v>2446</v>
      </c>
      <c r="D1004" s="155"/>
      <c r="E1004" s="18" t="s">
        <v>2455</v>
      </c>
      <c r="F1004" s="155" t="str">
        <f>IF(wskakunin_gaiyou1_SEKISAI="","",wskakunin_gaiyou1_SEKISAI)</f>
        <v/>
      </c>
    </row>
    <row r="1005" spans="1:6" ht="15" customHeight="1" x14ac:dyDescent="0.15">
      <c r="A1005" s="11"/>
      <c r="B1005" s="153" t="s">
        <v>2438</v>
      </c>
      <c r="C1005" s="18" t="s">
        <v>2447</v>
      </c>
      <c r="D1005" s="155"/>
      <c r="E1005" s="18" t="s">
        <v>2456</v>
      </c>
      <c r="F1005" s="155" t="str">
        <f>IF(wskakunin_gaiyou1_TEIIN="","",wskakunin_gaiyou1_TEIIN)</f>
        <v/>
      </c>
    </row>
    <row r="1006" spans="1:6" ht="15" customHeight="1" x14ac:dyDescent="0.15">
      <c r="A1006" s="11"/>
      <c r="B1006" s="153" t="s">
        <v>2439</v>
      </c>
      <c r="C1006" s="18" t="s">
        <v>2448</v>
      </c>
      <c r="D1006" s="155"/>
      <c r="E1006" s="18" t="s">
        <v>2457</v>
      </c>
      <c r="F1006" s="155" t="str">
        <f>IF(wskakunin_gaiyou1_SPEED="","",wskakunin_gaiyou1_SPEED)</f>
        <v/>
      </c>
    </row>
    <row r="1007" spans="1:6" ht="15" customHeight="1" x14ac:dyDescent="0.15">
      <c r="A1007" s="11"/>
      <c r="B1007" s="153" t="s">
        <v>2440</v>
      </c>
      <c r="C1007" s="18" t="s">
        <v>2449</v>
      </c>
      <c r="D1007" s="155"/>
      <c r="E1007" s="18" t="s">
        <v>2458</v>
      </c>
      <c r="F1007" s="155" t="str">
        <f>IF(wskakunin_gaiyou1_SONOTA="","",wskakunin_gaiyou1_SONOTA)</f>
        <v/>
      </c>
    </row>
    <row r="1008" spans="1:6" ht="15" customHeight="1" x14ac:dyDescent="0.15">
      <c r="A1008" s="11"/>
      <c r="B1008" s="153" t="s">
        <v>2441</v>
      </c>
      <c r="C1008" s="18" t="s">
        <v>2450</v>
      </c>
      <c r="D1008" s="155"/>
      <c r="E1008" s="18" t="s">
        <v>2459</v>
      </c>
      <c r="F1008" s="155" t="str">
        <f>IF(wskakunin_gaiyou1_NINSYOU_NO="","",wskakunin_gaiyou1_NINSYOU_NO)</f>
        <v/>
      </c>
    </row>
    <row r="1009" spans="1:6" ht="15" customHeight="1" x14ac:dyDescent="0.15">
      <c r="A1009" s="11"/>
      <c r="B1009" s="153" t="s">
        <v>2442</v>
      </c>
      <c r="C1009" s="18" t="s">
        <v>2451</v>
      </c>
      <c r="D1009" s="155"/>
      <c r="E1009" s="18" t="s">
        <v>2460</v>
      </c>
      <c r="F1009" s="155" t="str">
        <f>IF(wskakunin_gaiyou1_SONOTA_and_NINSYOU_NO="","",wskakunin_gaiyou1_SONOTA_and_NINSYOU_NO)</f>
        <v/>
      </c>
    </row>
    <row r="1010" spans="1:6" ht="15" customHeight="1" x14ac:dyDescent="0.15">
      <c r="A1010" s="11"/>
      <c r="B1010" s="146"/>
      <c r="D1010" s="19"/>
    </row>
    <row r="1011" spans="1:6" ht="15" customHeight="1" x14ac:dyDescent="0.15">
      <c r="A1011" s="1" t="s">
        <v>518</v>
      </c>
      <c r="B1011" s="30"/>
      <c r="D1011" s="19"/>
      <c r="F1011" s="19"/>
    </row>
    <row r="1012" spans="1:6" ht="15" customHeight="1" x14ac:dyDescent="0.15">
      <c r="A1012" s="11"/>
      <c r="B1012" s="73" t="s">
        <v>1059</v>
      </c>
      <c r="C1012" s="18" t="s">
        <v>1060</v>
      </c>
      <c r="D1012" s="260"/>
      <c r="E1012" s="18" t="s">
        <v>1061</v>
      </c>
      <c r="F1012" s="260" t="str">
        <f>IF(wskakunin_KENTIKU_MENSEKI_SHINSEI="", "", wskakunin_KENTIKU_MENSEKI_SHINSEI)</f>
        <v/>
      </c>
    </row>
    <row r="1013" spans="1:6" ht="15" customHeight="1" x14ac:dyDescent="0.15">
      <c r="A1013" s="11"/>
      <c r="B1013" s="73" t="s">
        <v>519</v>
      </c>
      <c r="C1013" s="18" t="s">
        <v>1062</v>
      </c>
      <c r="D1013" s="260"/>
      <c r="E1013" s="18" t="s">
        <v>1063</v>
      </c>
      <c r="F1013" s="260" t="str">
        <f>IF(wskakunin_KENTIKU_MENSEKI_IGAI="","",wskakunin_KENTIKU_MENSEKI_IGAI)</f>
        <v/>
      </c>
    </row>
    <row r="1014" spans="1:6" ht="15" customHeight="1" x14ac:dyDescent="0.15">
      <c r="A1014" s="11"/>
      <c r="B1014" s="73" t="s">
        <v>520</v>
      </c>
      <c r="C1014" s="18" t="s">
        <v>1064</v>
      </c>
      <c r="D1014" s="260"/>
      <c r="E1014" s="18" t="s">
        <v>1065</v>
      </c>
      <c r="F1014" s="260" t="str">
        <f>IF(wskakunin_KENTIKU_MENSEKI_TOTAL="","",wskakunin_KENTIKU_MENSEKI_TOTAL)</f>
        <v/>
      </c>
    </row>
    <row r="1015" spans="1:6" ht="15" customHeight="1" x14ac:dyDescent="0.15">
      <c r="A1015" s="11"/>
      <c r="B1015" s="73" t="s">
        <v>514</v>
      </c>
      <c r="C1015" s="18" t="s">
        <v>1066</v>
      </c>
      <c r="D1015" s="260"/>
      <c r="E1015" s="18" t="s">
        <v>1067</v>
      </c>
      <c r="F1015" s="260" t="str">
        <f>IF(wskakunin_KENPEI_RITU="","",wskakunin_KENPEI_RITU)</f>
        <v/>
      </c>
    </row>
    <row r="1016" spans="1:6" ht="15" customHeight="1" x14ac:dyDescent="0.15">
      <c r="A1016" s="144"/>
      <c r="B1016" s="146"/>
    </row>
    <row r="1017" spans="1:6" ht="15" customHeight="1" x14ac:dyDescent="0.15">
      <c r="A1017" s="69" t="s">
        <v>521</v>
      </c>
      <c r="B1017" s="70"/>
      <c r="D1017" s="19"/>
      <c r="F1017" s="19"/>
    </row>
    <row r="1018" spans="1:6" ht="15" customHeight="1" x14ac:dyDescent="0.15">
      <c r="A1018" s="11" t="s">
        <v>1278</v>
      </c>
      <c r="B1018" s="143"/>
      <c r="D1018" s="19"/>
      <c r="F1018" s="19"/>
    </row>
    <row r="1019" spans="1:6" ht="15" customHeight="1" x14ac:dyDescent="0.15">
      <c r="A1019" s="11"/>
      <c r="B1019" s="73" t="s">
        <v>1059</v>
      </c>
      <c r="C1019" s="18" t="s">
        <v>1068</v>
      </c>
      <c r="D1019" s="259"/>
      <c r="E1019" s="18" t="s">
        <v>1069</v>
      </c>
      <c r="F1019" s="259" t="str">
        <f>IF(wskakunin_NOBE_MENSEKI_BUILD_SHINSEI="", "", wskakunin_NOBE_MENSEKI_BUILD_SHINSEI)</f>
        <v/>
      </c>
    </row>
    <row r="1020" spans="1:6" ht="15" customHeight="1" x14ac:dyDescent="0.15">
      <c r="A1020" s="11"/>
      <c r="B1020" s="73" t="s">
        <v>519</v>
      </c>
      <c r="C1020" s="18" t="s">
        <v>1070</v>
      </c>
      <c r="D1020" s="259"/>
      <c r="E1020" s="18" t="s">
        <v>1071</v>
      </c>
      <c r="F1020" s="259" t="str">
        <f>IF(wskakunin_NOBE_MENSEKI_BUILD_IGAI="","",wskakunin_NOBE_MENSEKI_BUILD_IGAI)</f>
        <v/>
      </c>
    </row>
    <row r="1021" spans="1:6" ht="15" customHeight="1" x14ac:dyDescent="0.15">
      <c r="A1021" s="11"/>
      <c r="B1021" s="73" t="s">
        <v>520</v>
      </c>
      <c r="C1021" s="18" t="s">
        <v>1072</v>
      </c>
      <c r="D1021" s="259"/>
      <c r="E1021" s="18" t="s">
        <v>1073</v>
      </c>
      <c r="F1021" s="259" t="str">
        <f>IF(wskakunin_NOBE_MENSEKI_BUILD_TOTAL="","",wskakunin_NOBE_MENSEKI_BUILD_TOTAL)</f>
        <v/>
      </c>
    </row>
    <row r="1022" spans="1:6" ht="15" customHeight="1" x14ac:dyDescent="0.15">
      <c r="A1022" s="11"/>
      <c r="B1022" s="153"/>
      <c r="D1022" s="110"/>
      <c r="F1022" s="110"/>
    </row>
    <row r="1023" spans="1:6" ht="15" customHeight="1" x14ac:dyDescent="0.15">
      <c r="A1023" s="47" t="s">
        <v>1279</v>
      </c>
      <c r="B1023" s="145"/>
      <c r="D1023" s="110"/>
      <c r="F1023" s="110"/>
    </row>
    <row r="1024" spans="1:6" ht="15" customHeight="1" x14ac:dyDescent="0.15">
      <c r="A1024" s="11"/>
      <c r="B1024" s="73" t="s">
        <v>1059</v>
      </c>
      <c r="C1024" s="18" t="s">
        <v>1074</v>
      </c>
      <c r="D1024" s="259"/>
      <c r="E1024" s="18" t="s">
        <v>1075</v>
      </c>
      <c r="F1024" s="259" t="str">
        <f>IF(wskakunin_NOBE_MENSEKI_TIKAI_SHINSEI="","",wskakunin_NOBE_MENSEKI_TIKAI_SHINSEI)</f>
        <v/>
      </c>
    </row>
    <row r="1025" spans="1:6" ht="15" customHeight="1" x14ac:dyDescent="0.15">
      <c r="A1025" s="11"/>
      <c r="B1025" s="73" t="s">
        <v>519</v>
      </c>
      <c r="C1025" s="18" t="s">
        <v>1076</v>
      </c>
      <c r="D1025" s="259"/>
      <c r="E1025" s="18" t="s">
        <v>1077</v>
      </c>
      <c r="F1025" s="259" t="str">
        <f>IF(wskakunin_NOBE_MENSEKI_TIKAI_IGAI="","",wskakunin_NOBE_MENSEKI_TIKAI_IGAI)</f>
        <v/>
      </c>
    </row>
    <row r="1026" spans="1:6" ht="15" customHeight="1" x14ac:dyDescent="0.15">
      <c r="A1026" s="11"/>
      <c r="B1026" s="73" t="s">
        <v>520</v>
      </c>
      <c r="C1026" s="18" t="s">
        <v>1078</v>
      </c>
      <c r="D1026" s="259"/>
      <c r="E1026" s="18" t="s">
        <v>1079</v>
      </c>
      <c r="F1026" s="259" t="str">
        <f>IF(wskakunin_NOBE_MENSEKI_TIKAI_TOTAL="","",wskakunin_NOBE_MENSEKI_TIKAI_TOTAL)</f>
        <v/>
      </c>
    </row>
    <row r="1027" spans="1:6" ht="15" customHeight="1" x14ac:dyDescent="0.15">
      <c r="A1027" s="72"/>
      <c r="B1027" s="73"/>
      <c r="D1027" s="110"/>
      <c r="F1027" s="110"/>
    </row>
    <row r="1028" spans="1:6" ht="15" customHeight="1" x14ac:dyDescent="0.15">
      <c r="A1028" s="47" t="s">
        <v>1280</v>
      </c>
      <c r="B1028" s="145"/>
      <c r="D1028" s="110"/>
      <c r="F1028" s="110"/>
    </row>
    <row r="1029" spans="1:6" ht="15" customHeight="1" x14ac:dyDescent="0.15">
      <c r="A1029" s="11"/>
      <c r="B1029" s="73" t="s">
        <v>1059</v>
      </c>
      <c r="C1029" s="18" t="s">
        <v>1080</v>
      </c>
      <c r="D1029" s="259"/>
      <c r="E1029" s="18" t="s">
        <v>1081</v>
      </c>
      <c r="F1029" s="259" t="str">
        <f>IF(wskakunin_NOBE_MENSEKI_SYOUKOURO_SHINSEI="","",wskakunin_NOBE_MENSEKI_SYOUKOURO_SHINSEI)</f>
        <v/>
      </c>
    </row>
    <row r="1030" spans="1:6" ht="15" customHeight="1" x14ac:dyDescent="0.15">
      <c r="A1030" s="11"/>
      <c r="B1030" s="73" t="s">
        <v>519</v>
      </c>
      <c r="C1030" s="18" t="s">
        <v>1082</v>
      </c>
      <c r="D1030" s="259"/>
      <c r="E1030" s="18" t="s">
        <v>1083</v>
      </c>
      <c r="F1030" s="259" t="str">
        <f>IF(wskakunin_NOBE_MENSEKI_SYOUKOURO_IGAI="","",wskakunin_NOBE_MENSEKI_SYOUKOURO_IGAI)</f>
        <v/>
      </c>
    </row>
    <row r="1031" spans="1:6" ht="15" customHeight="1" x14ac:dyDescent="0.15">
      <c r="A1031" s="11"/>
      <c r="B1031" s="73" t="s">
        <v>520</v>
      </c>
      <c r="C1031" s="18" t="s">
        <v>1084</v>
      </c>
      <c r="D1031" s="259"/>
      <c r="E1031" s="18" t="s">
        <v>1085</v>
      </c>
      <c r="F1031" s="259" t="str">
        <f>IF(wskakunin_NOBE_MENSEKI_SYOUKOURO_TOTAL="","",wskakunin_NOBE_MENSEKI_SYOUKOURO_TOTAL)</f>
        <v/>
      </c>
    </row>
    <row r="1032" spans="1:6" ht="15" customHeight="1" x14ac:dyDescent="0.15">
      <c r="A1032" s="72"/>
      <c r="B1032" s="73"/>
      <c r="D1032" s="110"/>
      <c r="F1032" s="110"/>
    </row>
    <row r="1033" spans="1:6" ht="15" customHeight="1" x14ac:dyDescent="0.15">
      <c r="A1033" s="47" t="s">
        <v>1281</v>
      </c>
      <c r="B1033" s="145"/>
      <c r="D1033" s="110"/>
      <c r="F1033" s="110"/>
    </row>
    <row r="1034" spans="1:6" ht="15" customHeight="1" x14ac:dyDescent="0.15">
      <c r="A1034" s="11"/>
      <c r="B1034" s="73" t="s">
        <v>1059</v>
      </c>
      <c r="C1034" s="18" t="s">
        <v>1086</v>
      </c>
      <c r="D1034" s="259"/>
      <c r="E1034" s="18" t="s">
        <v>1087</v>
      </c>
      <c r="F1034" s="259" t="str">
        <f>IF(wskakunin_NOBE_MENSEKI_KYOYOU_SHINSEI="","",wskakunin_NOBE_MENSEKI_KYOYOU_SHINSEI)</f>
        <v/>
      </c>
    </row>
    <row r="1035" spans="1:6" ht="15" customHeight="1" x14ac:dyDescent="0.15">
      <c r="A1035" s="11"/>
      <c r="B1035" s="73" t="s">
        <v>519</v>
      </c>
      <c r="C1035" s="18" t="s">
        <v>1088</v>
      </c>
      <c r="D1035" s="259"/>
      <c r="E1035" s="18" t="s">
        <v>1089</v>
      </c>
      <c r="F1035" s="259" t="str">
        <f>IF(wskakunin_NOBE_MENSEKI_KYOYOU_IGAI="","",wskakunin_NOBE_MENSEKI_KYOYOU_IGAI)</f>
        <v/>
      </c>
    </row>
    <row r="1036" spans="1:6" ht="15" customHeight="1" x14ac:dyDescent="0.15">
      <c r="A1036" s="11"/>
      <c r="B1036" s="73" t="s">
        <v>520</v>
      </c>
      <c r="C1036" s="18" t="s">
        <v>1090</v>
      </c>
      <c r="D1036" s="259"/>
      <c r="E1036" s="18" t="s">
        <v>1091</v>
      </c>
      <c r="F1036" s="259" t="str">
        <f>IF(wskakunin_NOBE_MENSEKI_KYOYOU_TOTAL="","",wskakunin_NOBE_MENSEKI_KYOYOU_TOTAL)</f>
        <v/>
      </c>
    </row>
    <row r="1037" spans="1:6" ht="15" customHeight="1" x14ac:dyDescent="0.15">
      <c r="A1037" s="72"/>
      <c r="B1037" s="73"/>
      <c r="D1037" s="110"/>
      <c r="F1037" s="110"/>
    </row>
    <row r="1038" spans="1:6" ht="15" customHeight="1" x14ac:dyDescent="0.15">
      <c r="A1038" s="47" t="s">
        <v>1282</v>
      </c>
      <c r="B1038" s="145"/>
      <c r="D1038" s="110"/>
      <c r="F1038" s="110"/>
    </row>
    <row r="1039" spans="1:6" ht="15" customHeight="1" x14ac:dyDescent="0.15">
      <c r="A1039" s="11"/>
      <c r="B1039" s="73" t="s">
        <v>1059</v>
      </c>
      <c r="C1039" s="18" t="s">
        <v>1092</v>
      </c>
      <c r="D1039" s="259"/>
      <c r="E1039" s="18" t="s">
        <v>1093</v>
      </c>
      <c r="F1039" s="259" t="str">
        <f>IF(wskakunin_NOBE_MENSEKI_SYAKO_SHINSEI="","",wskakunin_NOBE_MENSEKI_SYAKO_SHINSEI)</f>
        <v/>
      </c>
    </row>
    <row r="1040" spans="1:6" ht="15" customHeight="1" x14ac:dyDescent="0.15">
      <c r="A1040" s="11"/>
      <c r="B1040" s="73" t="s">
        <v>519</v>
      </c>
      <c r="C1040" s="18" t="s">
        <v>1094</v>
      </c>
      <c r="D1040" s="259"/>
      <c r="E1040" s="18" t="s">
        <v>1095</v>
      </c>
      <c r="F1040" s="259" t="str">
        <f>IF(wskakunin_NOBE_MENSEKI_SYAKO_IGAI="","",wskakunin_NOBE_MENSEKI_SYAKO_IGAI)</f>
        <v/>
      </c>
    </row>
    <row r="1041" spans="1:7" ht="15" customHeight="1" x14ac:dyDescent="0.15">
      <c r="A1041" s="11"/>
      <c r="B1041" s="73" t="s">
        <v>520</v>
      </c>
      <c r="C1041" s="18" t="s">
        <v>1096</v>
      </c>
      <c r="D1041" s="259"/>
      <c r="E1041" s="18" t="s">
        <v>1097</v>
      </c>
      <c r="F1041" s="259" t="str">
        <f>IF(wskakunin_NOBE_MENSEKI_SYAKO_TOTAL="","",wskakunin_NOBE_MENSEKI_SYAKO_TOTAL)</f>
        <v/>
      </c>
    </row>
    <row r="1042" spans="1:7" ht="15" customHeight="1" x14ac:dyDescent="0.15">
      <c r="A1042" s="72"/>
      <c r="B1042" s="73"/>
      <c r="D1042" s="110"/>
      <c r="F1042" s="110"/>
    </row>
    <row r="1043" spans="1:7" ht="15" customHeight="1" x14ac:dyDescent="0.15">
      <c r="A1043" s="47" t="s">
        <v>1283</v>
      </c>
      <c r="B1043" s="145"/>
      <c r="D1043" s="110"/>
      <c r="F1043" s="110"/>
    </row>
    <row r="1044" spans="1:7" ht="15" customHeight="1" x14ac:dyDescent="0.15">
      <c r="A1044" s="11"/>
      <c r="B1044" s="73" t="s">
        <v>1059</v>
      </c>
      <c r="C1044" s="18" t="s">
        <v>1098</v>
      </c>
      <c r="D1044" s="259"/>
      <c r="E1044" s="18" t="s">
        <v>1099</v>
      </c>
      <c r="F1044" s="259" t="str">
        <f>IF(wskakunin_NOBE_MENSEKI_BITIKUSOUKO_SHINSEI="","",wskakunin_NOBE_MENSEKI_BITIKUSOUKO_SHINSEI)</f>
        <v/>
      </c>
    </row>
    <row r="1045" spans="1:7" ht="15" customHeight="1" x14ac:dyDescent="0.15">
      <c r="A1045" s="11"/>
      <c r="B1045" s="73" t="s">
        <v>519</v>
      </c>
      <c r="C1045" s="18" t="s">
        <v>1100</v>
      </c>
      <c r="D1045" s="259"/>
      <c r="E1045" s="18" t="s">
        <v>1101</v>
      </c>
      <c r="F1045" s="259" t="str">
        <f>IF(wskakunin_NOBE_MENSEKI_BITIKUSOUKO_IGAI="","",wskakunin_NOBE_MENSEKI_BITIKUSOUKO_IGAI)</f>
        <v/>
      </c>
    </row>
    <row r="1046" spans="1:7" ht="15" customHeight="1" x14ac:dyDescent="0.15">
      <c r="A1046" s="11"/>
      <c r="B1046" s="73" t="s">
        <v>520</v>
      </c>
      <c r="C1046" s="18" t="s">
        <v>1102</v>
      </c>
      <c r="D1046" s="259"/>
      <c r="E1046" s="18" t="s">
        <v>1103</v>
      </c>
      <c r="F1046" s="259" t="str">
        <f>IF(wskakunin_NOBE_MENSEKI_BITIKUSOUKO_TOTAL="","",wskakunin_NOBE_MENSEKI_BITIKUSOUKO_TOTAL)</f>
        <v/>
      </c>
    </row>
    <row r="1047" spans="1:7" ht="15" customHeight="1" x14ac:dyDescent="0.15">
      <c r="A1047" s="72"/>
      <c r="B1047" s="73"/>
      <c r="D1047" s="110"/>
      <c r="F1047" s="110"/>
    </row>
    <row r="1048" spans="1:7" ht="15" customHeight="1" x14ac:dyDescent="0.15">
      <c r="A1048" s="47" t="s">
        <v>1284</v>
      </c>
      <c r="B1048" s="145"/>
      <c r="D1048" s="110"/>
      <c r="F1048" s="110"/>
    </row>
    <row r="1049" spans="1:7" ht="15" customHeight="1" x14ac:dyDescent="0.15">
      <c r="A1049" s="11"/>
      <c r="B1049" s="73" t="s">
        <v>1059</v>
      </c>
      <c r="C1049" s="18" t="s">
        <v>1104</v>
      </c>
      <c r="D1049" s="259"/>
      <c r="E1049" s="18" t="s">
        <v>1105</v>
      </c>
      <c r="F1049" s="259" t="str">
        <f>IF(wskakunin_NOBE_MENSEKI_TIKUDENTI_SHINSEI="","",wskakunin_NOBE_MENSEKI_TIKUDENTI_SHINSEI)</f>
        <v/>
      </c>
    </row>
    <row r="1050" spans="1:7" ht="15" customHeight="1" x14ac:dyDescent="0.15">
      <c r="A1050" s="11"/>
      <c r="B1050" s="73" t="s">
        <v>519</v>
      </c>
      <c r="C1050" s="18" t="s">
        <v>1106</v>
      </c>
      <c r="D1050" s="259"/>
      <c r="E1050" s="18" t="s">
        <v>1107</v>
      </c>
      <c r="F1050" s="259" t="str">
        <f>IF(wskakunin_NOBE_MENSEKI_TIKUDENTI_IGAI="","",wskakunin_NOBE_MENSEKI_TIKUDENTI_IGAI)</f>
        <v/>
      </c>
    </row>
    <row r="1051" spans="1:7" ht="15" customHeight="1" x14ac:dyDescent="0.15">
      <c r="A1051" s="11"/>
      <c r="B1051" s="73" t="s">
        <v>520</v>
      </c>
      <c r="C1051" s="18" t="s">
        <v>1108</v>
      </c>
      <c r="D1051" s="259"/>
      <c r="E1051" s="18" t="s">
        <v>1109</v>
      </c>
      <c r="F1051" s="259" t="str">
        <f>IF(wskakunin_NOBE_MENSEKI_TIKUDENTI_TOTAL="","",wskakunin_NOBE_MENSEKI_TIKUDENTI_TOTAL)</f>
        <v/>
      </c>
    </row>
    <row r="1052" spans="1:7" ht="15" customHeight="1" x14ac:dyDescent="0.15">
      <c r="A1052" s="72"/>
      <c r="B1052" s="73"/>
      <c r="D1052" s="110"/>
      <c r="F1052" s="110"/>
    </row>
    <row r="1053" spans="1:7" ht="15" customHeight="1" x14ac:dyDescent="0.15">
      <c r="A1053" s="47" t="s">
        <v>1285</v>
      </c>
      <c r="B1053" s="145"/>
      <c r="D1053" s="110"/>
      <c r="F1053" s="110"/>
    </row>
    <row r="1054" spans="1:7" ht="15" customHeight="1" x14ac:dyDescent="0.15">
      <c r="A1054" s="11"/>
      <c r="B1054" s="73" t="s">
        <v>1059</v>
      </c>
      <c r="C1054" s="18" t="s">
        <v>1110</v>
      </c>
      <c r="D1054" s="259"/>
      <c r="E1054" s="18" t="s">
        <v>1111</v>
      </c>
      <c r="F1054" s="259" t="str">
        <f>IF(wskakunin_NOBE_MENSEKI_JIKAHATUDEN_SHINSEI="","",wskakunin_NOBE_MENSEKI_JIKAHATUDEN_SHINSEI)</f>
        <v/>
      </c>
    </row>
    <row r="1055" spans="1:7" ht="15" customHeight="1" x14ac:dyDescent="0.15">
      <c r="A1055" s="11"/>
      <c r="B1055" s="73" t="s">
        <v>519</v>
      </c>
      <c r="C1055" s="18" t="s">
        <v>1112</v>
      </c>
      <c r="D1055" s="259"/>
      <c r="E1055" s="18" t="s">
        <v>1113</v>
      </c>
      <c r="F1055" s="259" t="str">
        <f>IF(wskakunin_NOBE_MENSEKI_JIKAHATUDEN_IGAI="","",wskakunin_NOBE_MENSEKI_JIKAHATUDEN_IGAI)</f>
        <v/>
      </c>
      <c r="G1055" s="18" t="s">
        <v>529</v>
      </c>
    </row>
    <row r="1056" spans="1:7" ht="15" customHeight="1" x14ac:dyDescent="0.15">
      <c r="A1056" s="11"/>
      <c r="B1056" s="73" t="s">
        <v>520</v>
      </c>
      <c r="C1056" s="18" t="s">
        <v>1114</v>
      </c>
      <c r="D1056" s="259"/>
      <c r="E1056" s="18" t="s">
        <v>1115</v>
      </c>
      <c r="F1056" s="259" t="str">
        <f>IF(wskakunin_NOBE_MENSEKI_JIKAHATUDEN_TOTAL="","",wskakunin_NOBE_MENSEKI_JIKAHATUDEN_TOTAL)</f>
        <v/>
      </c>
      <c r="G1056" s="18" t="s">
        <v>530</v>
      </c>
    </row>
    <row r="1057" spans="1:7" ht="15" customHeight="1" x14ac:dyDescent="0.15">
      <c r="A1057" s="72"/>
      <c r="B1057" s="73"/>
      <c r="D1057" s="110"/>
      <c r="F1057" s="110"/>
    </row>
    <row r="1058" spans="1:7" ht="15" customHeight="1" x14ac:dyDescent="0.15">
      <c r="A1058" s="47" t="s">
        <v>1286</v>
      </c>
      <c r="B1058" s="145"/>
      <c r="D1058" s="110"/>
      <c r="F1058" s="110"/>
    </row>
    <row r="1059" spans="1:7" ht="15" customHeight="1" x14ac:dyDescent="0.15">
      <c r="A1059" s="11"/>
      <c r="B1059" s="73" t="s">
        <v>1059</v>
      </c>
      <c r="C1059" s="18" t="s">
        <v>1116</v>
      </c>
      <c r="D1059" s="259"/>
      <c r="E1059" s="18" t="s">
        <v>1117</v>
      </c>
      <c r="F1059" s="259" t="str">
        <f>IF(wskakunin_NOBE_MENSEKI_CHOSUISOU_SHINSEI="","",wskakunin_NOBE_MENSEKI_CHOSUISOU_SHINSEI)</f>
        <v/>
      </c>
      <c r="G1059" s="18" t="s">
        <v>529</v>
      </c>
    </row>
    <row r="1060" spans="1:7" ht="15" customHeight="1" x14ac:dyDescent="0.15">
      <c r="A1060" s="11"/>
      <c r="B1060" s="73" t="s">
        <v>519</v>
      </c>
      <c r="C1060" s="18" t="s">
        <v>1118</v>
      </c>
      <c r="D1060" s="259"/>
      <c r="E1060" s="18" t="s">
        <v>1119</v>
      </c>
      <c r="F1060" s="259" t="str">
        <f>IF(wskakunin_NOBE_MENSEKI_CHOSUISOU_IGAI="","",wskakunin_NOBE_MENSEKI_CHOSUISOU_IGAI)</f>
        <v/>
      </c>
      <c r="G1060" s="18" t="s">
        <v>529</v>
      </c>
    </row>
    <row r="1061" spans="1:7" ht="15" customHeight="1" x14ac:dyDescent="0.15">
      <c r="A1061" s="11"/>
      <c r="B1061" s="73" t="s">
        <v>520</v>
      </c>
      <c r="C1061" s="18" t="s">
        <v>1120</v>
      </c>
      <c r="D1061" s="259"/>
      <c r="E1061" s="18" t="s">
        <v>1121</v>
      </c>
      <c r="F1061" s="259" t="str">
        <f>IF(wskakunin_NOBE_MENSEKI_CHOSUISOU_TOTAL="","",wskakunin_NOBE_MENSEKI_CHOSUISOU_TOTAL)</f>
        <v/>
      </c>
      <c r="G1061" s="18" t="s">
        <v>529</v>
      </c>
    </row>
    <row r="1062" spans="1:7" ht="15" customHeight="1" x14ac:dyDescent="0.15">
      <c r="A1062" s="72"/>
      <c r="B1062" s="73"/>
      <c r="D1062" s="110"/>
      <c r="F1062" s="110"/>
    </row>
    <row r="1063" spans="1:7" ht="15" customHeight="1" x14ac:dyDescent="0.15">
      <c r="A1063" s="297" t="s">
        <v>2408</v>
      </c>
      <c r="B1063" s="298"/>
      <c r="D1063" s="110"/>
      <c r="F1063" s="110"/>
    </row>
    <row r="1064" spans="1:7" ht="15" customHeight="1" x14ac:dyDescent="0.15">
      <c r="A1064" s="11"/>
      <c r="B1064" s="73" t="s">
        <v>1059</v>
      </c>
      <c r="C1064" s="18" t="s">
        <v>2409</v>
      </c>
      <c r="D1064" s="259"/>
      <c r="E1064" s="18" t="s">
        <v>2412</v>
      </c>
      <c r="F1064" s="259" t="str">
        <f>IF(wskakunin_NOBE_MENSEKI_TAKUHAI_SHINSEI="","",wskakunin_NOBE_MENSEKI_TAKUHAI_SHINSEI)</f>
        <v/>
      </c>
    </row>
    <row r="1065" spans="1:7" ht="15" customHeight="1" x14ac:dyDescent="0.15">
      <c r="A1065" s="11"/>
      <c r="B1065" s="73" t="s">
        <v>519</v>
      </c>
      <c r="C1065" s="18" t="s">
        <v>2410</v>
      </c>
      <c r="D1065" s="259"/>
      <c r="E1065" s="18" t="s">
        <v>2413</v>
      </c>
      <c r="F1065" s="259" t="str">
        <f>IF(wskakunin_NOBE_MENSEKI_TAKUHAI_IGAI="","",wskakunin_NOBE_MENSEKI_TAKUHAI_IGAI)</f>
        <v/>
      </c>
    </row>
    <row r="1066" spans="1:7" ht="15" customHeight="1" x14ac:dyDescent="0.15">
      <c r="A1066" s="11"/>
      <c r="B1066" s="73" t="s">
        <v>520</v>
      </c>
      <c r="C1066" s="18" t="s">
        <v>2411</v>
      </c>
      <c r="D1066" s="259"/>
      <c r="E1066" s="18" t="s">
        <v>2414</v>
      </c>
      <c r="F1066" s="259" t="str">
        <f>IF(wskakunin_NOBE_MENSEKI_TAKUHAI_TOTAL="","",wskakunin_NOBE_MENSEKI_TAKUHAI_TOTAL)</f>
        <v/>
      </c>
    </row>
    <row r="1067" spans="1:7" ht="15" customHeight="1" x14ac:dyDescent="0.15">
      <c r="A1067" s="11"/>
      <c r="B1067" s="73"/>
      <c r="D1067" s="110"/>
      <c r="F1067" s="110"/>
    </row>
    <row r="1068" spans="1:7" ht="15" customHeight="1" x14ac:dyDescent="0.15">
      <c r="A1068" s="47" t="s">
        <v>1287</v>
      </c>
      <c r="B1068" s="145"/>
      <c r="D1068" s="110"/>
      <c r="F1068" s="110"/>
    </row>
    <row r="1069" spans="1:7" ht="15" customHeight="1" x14ac:dyDescent="0.15">
      <c r="A1069" s="11"/>
      <c r="B1069" s="73" t="s">
        <v>1059</v>
      </c>
      <c r="C1069" s="18" t="s">
        <v>1122</v>
      </c>
      <c r="D1069" s="260"/>
      <c r="E1069" s="18" t="s">
        <v>1123</v>
      </c>
      <c r="F1069" s="260" t="str">
        <f>IF(wskakunin_NOBE_MENSEKI_JYUTAKU_SHINSEI="", "", wskakunin_NOBE_MENSEKI_JYUTAKU_SHINSEI)</f>
        <v/>
      </c>
    </row>
    <row r="1070" spans="1:7" ht="15" customHeight="1" x14ac:dyDescent="0.15">
      <c r="A1070" s="11"/>
      <c r="B1070" s="73" t="s">
        <v>519</v>
      </c>
      <c r="C1070" s="18" t="s">
        <v>1124</v>
      </c>
      <c r="D1070" s="259"/>
      <c r="E1070" s="18" t="s">
        <v>1125</v>
      </c>
      <c r="F1070" s="259" t="str">
        <f>IF(wskakunin_NOBE_MENSEKI_JYUTAKU_IGAI="","",wskakunin_NOBE_MENSEKI_JYUTAKU_IGAI)</f>
        <v/>
      </c>
    </row>
    <row r="1071" spans="1:7" ht="15" customHeight="1" x14ac:dyDescent="0.15">
      <c r="A1071" s="11"/>
      <c r="B1071" s="73" t="s">
        <v>520</v>
      </c>
      <c r="C1071" s="18" t="s">
        <v>1126</v>
      </c>
      <c r="D1071" s="259"/>
      <c r="E1071" s="18" t="s">
        <v>1127</v>
      </c>
      <c r="F1071" s="259" t="str">
        <f>IF(wskakunin_NOBE_MENSEKI_JYUTAKU_TOTAL="","",wskakunin_NOBE_MENSEKI_JYUTAKU_TOTAL)</f>
        <v/>
      </c>
    </row>
    <row r="1072" spans="1:7" ht="15" customHeight="1" x14ac:dyDescent="0.15">
      <c r="A1072" s="72"/>
      <c r="B1072" s="73"/>
      <c r="D1072" s="110"/>
      <c r="F1072" s="110"/>
    </row>
    <row r="1073" spans="1:6" ht="15" customHeight="1" x14ac:dyDescent="0.15">
      <c r="A1073" s="47" t="s">
        <v>1288</v>
      </c>
      <c r="B1073" s="145"/>
      <c r="D1073" s="110"/>
      <c r="F1073" s="110"/>
    </row>
    <row r="1074" spans="1:6" ht="15" customHeight="1" x14ac:dyDescent="0.15">
      <c r="A1074" s="11"/>
      <c r="B1074" s="73" t="s">
        <v>1059</v>
      </c>
      <c r="C1074" s="18" t="s">
        <v>1128</v>
      </c>
      <c r="D1074" s="259"/>
      <c r="E1074" s="18" t="s">
        <v>1129</v>
      </c>
      <c r="F1074" s="259" t="str">
        <f>IF(wskakunin_NOBE_MENSEKI_ROUJIN_SHINSEI="","",wskakunin_NOBE_MENSEKI_ROUJIN_SHINSEI)</f>
        <v/>
      </c>
    </row>
    <row r="1075" spans="1:6" ht="15" customHeight="1" x14ac:dyDescent="0.15">
      <c r="A1075" s="11"/>
      <c r="B1075" s="73" t="s">
        <v>519</v>
      </c>
      <c r="C1075" s="18" t="s">
        <v>1130</v>
      </c>
      <c r="D1075" s="259"/>
      <c r="E1075" s="18" t="s">
        <v>1131</v>
      </c>
      <c r="F1075" s="259" t="str">
        <f>IF(wskakunin_NOBE_MENSEKI_ROUJIN_IGAI="","",wskakunin_NOBE_MENSEKI_ROUJIN_IGAI)</f>
        <v/>
      </c>
    </row>
    <row r="1076" spans="1:6" ht="15" customHeight="1" x14ac:dyDescent="0.15">
      <c r="A1076" s="11"/>
      <c r="B1076" s="73" t="s">
        <v>520</v>
      </c>
      <c r="C1076" s="18" t="s">
        <v>1132</v>
      </c>
      <c r="D1076" s="259"/>
      <c r="E1076" s="18" t="s">
        <v>1133</v>
      </c>
      <c r="F1076" s="259" t="str">
        <f>IF(wskakunin_NOBE_MENSEKI_ROUJIN_TOTAL="","",wskakunin_NOBE_MENSEKI_ROUJIN_TOTAL)</f>
        <v/>
      </c>
    </row>
    <row r="1077" spans="1:6" ht="15" customHeight="1" x14ac:dyDescent="0.15">
      <c r="A1077" s="72"/>
      <c r="B1077" s="73"/>
      <c r="D1077" s="110"/>
      <c r="F1077" s="110"/>
    </row>
    <row r="1078" spans="1:6" ht="15" customHeight="1" x14ac:dyDescent="0.15">
      <c r="A1078" s="47" t="s">
        <v>1289</v>
      </c>
      <c r="B1078" s="145"/>
      <c r="D1078" s="110"/>
      <c r="F1078" s="110"/>
    </row>
    <row r="1079" spans="1:6" ht="15" customHeight="1" x14ac:dyDescent="0.15">
      <c r="A1079" s="11"/>
      <c r="B1079" s="73" t="s">
        <v>520</v>
      </c>
      <c r="C1079" s="18" t="s">
        <v>1134</v>
      </c>
      <c r="D1079" s="259"/>
      <c r="E1079" s="18" t="s">
        <v>1135</v>
      </c>
      <c r="F1079" s="259" t="str">
        <f>IF(wskakunin_NOBE_MENSEKI="","",wskakunin_NOBE_MENSEKI)</f>
        <v/>
      </c>
    </row>
    <row r="1080" spans="1:6" ht="15" customHeight="1" x14ac:dyDescent="0.15">
      <c r="A1080" s="72"/>
      <c r="B1080" s="73"/>
      <c r="D1080" s="110"/>
      <c r="F1080" s="110"/>
    </row>
    <row r="1081" spans="1:6" ht="15" customHeight="1" x14ac:dyDescent="0.15">
      <c r="A1081" s="47" t="s">
        <v>116</v>
      </c>
      <c r="B1081" s="145"/>
      <c r="D1081" s="110"/>
      <c r="F1081" s="110"/>
    </row>
    <row r="1082" spans="1:6" ht="15" customHeight="1" x14ac:dyDescent="0.15">
      <c r="A1082" s="11"/>
      <c r="B1082" s="73" t="s">
        <v>520</v>
      </c>
      <c r="C1082" s="18" t="s">
        <v>1136</v>
      </c>
      <c r="D1082" s="259"/>
      <c r="E1082" s="18" t="s">
        <v>1137</v>
      </c>
      <c r="F1082" s="259" t="str">
        <f>IF(wskakunin_YOUSEKI_RITU="","",wskakunin_YOUSEKI_RITU)</f>
        <v/>
      </c>
    </row>
    <row r="1083" spans="1:6" ht="15" customHeight="1" x14ac:dyDescent="0.15">
      <c r="A1083" s="72"/>
      <c r="B1083" s="73"/>
      <c r="D1083" s="110"/>
      <c r="F1083" s="110"/>
    </row>
    <row r="1084" spans="1:6" ht="15" customHeight="1" x14ac:dyDescent="0.15">
      <c r="A1084" s="11" t="s">
        <v>522</v>
      </c>
      <c r="B1084" s="143"/>
      <c r="D1084" s="19"/>
      <c r="F1084" s="19"/>
    </row>
    <row r="1085" spans="1:6" ht="15" customHeight="1" x14ac:dyDescent="0.15">
      <c r="A1085" s="11"/>
      <c r="B1085" s="73" t="s">
        <v>1138</v>
      </c>
      <c r="C1085" s="18" t="s">
        <v>1139</v>
      </c>
      <c r="D1085" s="155"/>
      <c r="E1085" s="18" t="s">
        <v>1140</v>
      </c>
      <c r="F1085" s="155" t="str">
        <f>IF(wskakunin_BUILD_SHINSEI_COUNT="","",wskakunin_BUILD_SHINSEI_COUNT)</f>
        <v/>
      </c>
    </row>
    <row r="1086" spans="1:6" ht="15" customHeight="1" x14ac:dyDescent="0.15">
      <c r="A1086" s="11"/>
      <c r="B1086" s="73" t="s">
        <v>1141</v>
      </c>
      <c r="C1086" s="18" t="s">
        <v>1142</v>
      </c>
      <c r="D1086" s="155"/>
      <c r="E1086" s="18" t="s">
        <v>1143</v>
      </c>
      <c r="F1086" s="155" t="str">
        <f>IF(wskakunin_BUILD_SONOTA_COUNT="","",wskakunin_BUILD_SONOTA_COUNT)</f>
        <v/>
      </c>
    </row>
    <row r="1087" spans="1:6" ht="15" customHeight="1" x14ac:dyDescent="0.15">
      <c r="A1087" s="12"/>
      <c r="B1087" s="74"/>
      <c r="D1087" s="19"/>
      <c r="F1087" s="19"/>
    </row>
    <row r="1088" spans="1:6" ht="15" customHeight="1" x14ac:dyDescent="0.15">
      <c r="A1088" s="69" t="s">
        <v>523</v>
      </c>
      <c r="B1088" s="70"/>
      <c r="D1088" s="19"/>
      <c r="F1088" s="19"/>
    </row>
    <row r="1089" spans="1:6" ht="15" customHeight="1" x14ac:dyDescent="0.15">
      <c r="A1089" s="47" t="s">
        <v>623</v>
      </c>
      <c r="B1089" s="71"/>
      <c r="D1089" s="19"/>
      <c r="F1089" s="19"/>
    </row>
    <row r="1090" spans="1:6" ht="15" customHeight="1" x14ac:dyDescent="0.15">
      <c r="A1090" s="11"/>
      <c r="B1090" s="73" t="s">
        <v>1144</v>
      </c>
      <c r="C1090" s="18" t="s">
        <v>1145</v>
      </c>
      <c r="D1090" s="258"/>
      <c r="E1090" s="18" t="s">
        <v>1146</v>
      </c>
      <c r="F1090" s="258" t="str">
        <f>IF(wskakunin_TAKASA_MAX_SHINSEI="","",wskakunin_TAKASA_MAX_SHINSEI)</f>
        <v/>
      </c>
    </row>
    <row r="1091" spans="1:6" ht="15" customHeight="1" x14ac:dyDescent="0.15">
      <c r="A1091" s="72"/>
      <c r="B1091" s="73" t="s">
        <v>524</v>
      </c>
      <c r="C1091" s="18" t="s">
        <v>1147</v>
      </c>
      <c r="D1091" s="258"/>
      <c r="E1091" s="18" t="s">
        <v>1148</v>
      </c>
      <c r="F1091" s="258" t="str">
        <f>IF(wskakunin_TAKASA_MAX_SONOTA="","",wskakunin_TAKASA_MAX_SONOTA)</f>
        <v/>
      </c>
    </row>
    <row r="1092" spans="1:6" ht="15" customHeight="1" x14ac:dyDescent="0.15">
      <c r="A1092" s="47" t="s">
        <v>624</v>
      </c>
      <c r="B1092" s="71"/>
      <c r="D1092" s="19"/>
      <c r="F1092" s="19"/>
    </row>
    <row r="1093" spans="1:6" ht="15" customHeight="1" x14ac:dyDescent="0.15">
      <c r="A1093" s="11"/>
      <c r="B1093" s="73" t="s">
        <v>1144</v>
      </c>
      <c r="C1093" s="18" t="s">
        <v>1149</v>
      </c>
      <c r="D1093" s="155"/>
      <c r="E1093" s="18" t="s">
        <v>1150</v>
      </c>
      <c r="F1093" s="155" t="str">
        <f>IF(wskakunin_KAISU_TIJYOU_SHINSEI="", "", wskakunin_KAISU_TIJYOU_SHINSEI)</f>
        <v/>
      </c>
    </row>
    <row r="1094" spans="1:6" ht="15" customHeight="1" x14ac:dyDescent="0.15">
      <c r="A1094" s="72"/>
      <c r="B1094" s="73" t="s">
        <v>524</v>
      </c>
      <c r="C1094" s="18" t="s">
        <v>1151</v>
      </c>
      <c r="D1094" s="155"/>
      <c r="E1094" s="18" t="s">
        <v>1152</v>
      </c>
      <c r="F1094" s="155" t="str">
        <f>IF(wskakunin_KAISU_TIJYOU_SONOTA="","",wskakunin_KAISU_TIJYOU_SONOTA)</f>
        <v/>
      </c>
    </row>
    <row r="1095" spans="1:6" ht="15" customHeight="1" x14ac:dyDescent="0.15">
      <c r="A1095" s="47" t="s">
        <v>625</v>
      </c>
      <c r="B1095" s="71"/>
      <c r="D1095" s="19"/>
      <c r="F1095" s="19"/>
    </row>
    <row r="1096" spans="1:6" ht="15" customHeight="1" x14ac:dyDescent="0.15">
      <c r="A1096" s="11"/>
      <c r="B1096" s="73" t="s">
        <v>1144</v>
      </c>
      <c r="C1096" s="18" t="s">
        <v>1153</v>
      </c>
      <c r="D1096" s="155">
        <v>0</v>
      </c>
      <c r="E1096" s="18" t="s">
        <v>1154</v>
      </c>
      <c r="F1096" s="155">
        <f>IF(wskakunin_KAISU_TIKA_SHINSEI__zero="", "", wskakunin_KAISU_TIKA_SHINSEI__zero)</f>
        <v>0</v>
      </c>
    </row>
    <row r="1097" spans="1:6" ht="15" customHeight="1" x14ac:dyDescent="0.15">
      <c r="A1097" s="72"/>
      <c r="B1097" s="73" t="s">
        <v>524</v>
      </c>
      <c r="C1097" s="18" t="s">
        <v>1155</v>
      </c>
      <c r="D1097" s="155"/>
      <c r="E1097" s="18" t="s">
        <v>1156</v>
      </c>
      <c r="F1097" s="155" t="str">
        <f>IF(wskakunin_KAISU_TIKA_SONOTA="","",wskakunin_KAISU_TIKA_SONOTA)</f>
        <v/>
      </c>
    </row>
    <row r="1098" spans="1:6" ht="15" customHeight="1" x14ac:dyDescent="0.15">
      <c r="A1098" s="47" t="s">
        <v>22</v>
      </c>
      <c r="B1098" s="71"/>
      <c r="D1098" s="19"/>
      <c r="F1098" s="19"/>
    </row>
    <row r="1099" spans="1:6" ht="15" customHeight="1" x14ac:dyDescent="0.15">
      <c r="A1099" s="11"/>
      <c r="B1099" s="73" t="s">
        <v>22</v>
      </c>
      <c r="C1099" s="18" t="s">
        <v>1157</v>
      </c>
      <c r="D1099" s="155"/>
      <c r="E1099" s="18" t="s">
        <v>1158</v>
      </c>
      <c r="F1099" s="155" t="str">
        <f>IF(wskakunin_KOUZOU1="","",wskakunin_KOUZOU1)</f>
        <v/>
      </c>
    </row>
    <row r="1100" spans="1:6" ht="15" customHeight="1" x14ac:dyDescent="0.15">
      <c r="A1100" s="11"/>
      <c r="B1100" s="73" t="s">
        <v>525</v>
      </c>
      <c r="C1100" s="18" t="s">
        <v>1159</v>
      </c>
      <c r="D1100" s="155"/>
      <c r="E1100" s="18" t="s">
        <v>1160</v>
      </c>
      <c r="F1100" s="155" t="str">
        <f>IF(wskakunin_KOUZOU2="","",wskakunin_KOUZOU2)</f>
        <v/>
      </c>
    </row>
    <row r="1101" spans="1:6" ht="15" customHeight="1" x14ac:dyDescent="0.15">
      <c r="A1101" s="11"/>
      <c r="B1101" s="73"/>
      <c r="E1101" s="18" t="s">
        <v>2406</v>
      </c>
      <c r="F1101" s="18" t="str">
        <f>IF(OR(LEFT(wskakunin_KOUZOU1,2)="木造",LEFT(wskakunin_KOUZOU2,2)="木造"),"○","")</f>
        <v/>
      </c>
    </row>
    <row r="1102" spans="1:6" ht="15" customHeight="1" x14ac:dyDescent="0.15">
      <c r="A1102" s="88"/>
      <c r="B1102" s="73"/>
      <c r="D1102" s="19"/>
      <c r="E1102" s="18" t="s">
        <v>2407</v>
      </c>
      <c r="F1102" s="19" t="str">
        <f>IF(OR(wskakunin_KOUZOU1="木造（在来工法）",wskakunin_KOUZOU1="木造（軸組工法）",wskakunin_KOUZOU1="木造（在来軸組工法）",wskakunin_KOUZOU1="木造（テクノストラクチャー）",wskakunin_KOUZOU2="木造（在来工法）",wskakunin_KOUZOU2="木造（軸組工法）",wskakunin_KOUZOU2="木造（在来軸組工法）",wskakunin_KOUZOU2="木造（テクノストラクチャー）"),"○","")</f>
        <v/>
      </c>
    </row>
    <row r="1103" spans="1:6" ht="15" customHeight="1" x14ac:dyDescent="0.15">
      <c r="A1103" s="11"/>
      <c r="B1103" s="143"/>
      <c r="D1103" s="19"/>
      <c r="E1103" s="18" t="s">
        <v>2559</v>
      </c>
      <c r="F1103" s="155" t="str">
        <f>IF(cst_wskakunin_KOUZOU1="","",IF(AND(cst_wskakunin_KOUZOU1&lt;&gt;"",cst_wskakunin_KOUZOU2&lt;&gt;""),cst_wskakunin_KOUZOU1&amp;" 一部 "&amp;cst_wskakunin_KOUZOU2,cst_wskakunin_KOUZOU1))</f>
        <v/>
      </c>
    </row>
    <row r="1104" spans="1:6" ht="15" customHeight="1" x14ac:dyDescent="0.15">
      <c r="A1104" s="11" t="s">
        <v>526</v>
      </c>
      <c r="B1104" s="31"/>
    </row>
    <row r="1105" spans="1:6" ht="15" customHeight="1" x14ac:dyDescent="0.15">
      <c r="A1105" s="11"/>
      <c r="B1105" s="73" t="s">
        <v>627</v>
      </c>
      <c r="C1105" s="18" t="s">
        <v>1161</v>
      </c>
      <c r="D1105" s="155"/>
      <c r="E1105" s="18" t="s">
        <v>1162</v>
      </c>
      <c r="F1105" s="155" t="str">
        <f>IF(wskakunin_TOKUREI_TAKASA=1,"有","無")</f>
        <v>無</v>
      </c>
    </row>
    <row r="1106" spans="1:6" ht="15" customHeight="1" x14ac:dyDescent="0.15">
      <c r="A1106" s="11"/>
      <c r="B1106" s="73" t="s">
        <v>628</v>
      </c>
      <c r="D1106" s="19"/>
      <c r="E1106" s="18" t="s">
        <v>630</v>
      </c>
      <c r="F1106" s="155" t="str">
        <f>IF(wskakunin_TOKUREI_TAKASA=1,"■","□")</f>
        <v>□</v>
      </c>
    </row>
    <row r="1107" spans="1:6" ht="15" customHeight="1" x14ac:dyDescent="0.15">
      <c r="A1107" s="11"/>
      <c r="B1107" s="73" t="s">
        <v>629</v>
      </c>
      <c r="D1107" s="19"/>
      <c r="E1107" s="18" t="s">
        <v>1163</v>
      </c>
      <c r="F1107" s="155" t="str">
        <f>IF(wskakunin_TOKUREI_TAKASA="","□",IF(wskakunin_TOKUREI_TAKASA=0,"■","□"))</f>
        <v>□</v>
      </c>
    </row>
    <row r="1108" spans="1:6" ht="15" customHeight="1" x14ac:dyDescent="0.15">
      <c r="A1108" s="11"/>
      <c r="B1108" s="73"/>
      <c r="D1108" s="19"/>
      <c r="F1108" s="19"/>
    </row>
    <row r="1109" spans="1:6" ht="15" customHeight="1" x14ac:dyDescent="0.15">
      <c r="A1109" s="47" t="s">
        <v>626</v>
      </c>
      <c r="B1109" s="71"/>
      <c r="D1109" s="19"/>
      <c r="F1109" s="19"/>
    </row>
    <row r="1110" spans="1:6" ht="15" customHeight="1" x14ac:dyDescent="0.15">
      <c r="A1110" s="11"/>
      <c r="B1110" s="73" t="s">
        <v>1164</v>
      </c>
      <c r="C1110" s="18" t="s">
        <v>1165</v>
      </c>
      <c r="D1110" s="155"/>
      <c r="E1110" s="18" t="s">
        <v>1166</v>
      </c>
      <c r="F1110" s="155" t="str">
        <f>IF(wskakunin_TOKUREI_TAKASA_DOURO=1,"■","□")</f>
        <v>□</v>
      </c>
    </row>
    <row r="1111" spans="1:6" ht="15" customHeight="1" x14ac:dyDescent="0.15">
      <c r="A1111" s="11"/>
      <c r="B1111" s="73" t="s">
        <v>1167</v>
      </c>
      <c r="C1111" s="18" t="s">
        <v>1168</v>
      </c>
      <c r="D1111" s="155"/>
      <c r="E1111" s="18" t="s">
        <v>1169</v>
      </c>
      <c r="F1111" s="155" t="str">
        <f>IF(wskakunin_TOKUREI_TAKASA_RINTI=1,"■","□")</f>
        <v>□</v>
      </c>
    </row>
    <row r="1112" spans="1:6" ht="15" customHeight="1" x14ac:dyDescent="0.15">
      <c r="A1112" s="11"/>
      <c r="B1112" s="73" t="s">
        <v>1170</v>
      </c>
      <c r="C1112" s="18" t="s">
        <v>1171</v>
      </c>
      <c r="D1112" s="155"/>
      <c r="E1112" s="18" t="s">
        <v>1172</v>
      </c>
      <c r="F1112" s="155" t="str">
        <f>IF(wskakunin_TOKUREI_TAKASA_KITA=1,"■","□")</f>
        <v>□</v>
      </c>
    </row>
    <row r="1113" spans="1:6" ht="15" customHeight="1" x14ac:dyDescent="0.15">
      <c r="A1113" s="12"/>
      <c r="B1113" s="74"/>
      <c r="D1113" s="19"/>
      <c r="F1113" s="19"/>
    </row>
    <row r="1114" spans="1:6" ht="15" customHeight="1" x14ac:dyDescent="0.15">
      <c r="A1114" s="89" t="s">
        <v>527</v>
      </c>
      <c r="B1114" s="98"/>
      <c r="C1114" s="18" t="s">
        <v>1236</v>
      </c>
    </row>
    <row r="1115" spans="1:6" ht="15" customHeight="1" x14ac:dyDescent="0.15">
      <c r="A1115" s="94" t="s">
        <v>1180</v>
      </c>
      <c r="B1115" s="148"/>
    </row>
    <row r="1116" spans="1:6" ht="15" customHeight="1" x14ac:dyDescent="0.15">
      <c r="A1116" s="91"/>
      <c r="B1116" s="84" t="s">
        <v>1237</v>
      </c>
      <c r="C1116" s="18" t="s">
        <v>1242</v>
      </c>
      <c r="D1116" s="241"/>
      <c r="E1116" s="18" t="s">
        <v>1260</v>
      </c>
      <c r="F1116" s="155" t="str">
        <f>IF(wskakunin_kyoka01_HOUREI="","",wskakunin_kyoka01_HOUREI)</f>
        <v/>
      </c>
    </row>
    <row r="1117" spans="1:6" ht="15" customHeight="1" x14ac:dyDescent="0.15">
      <c r="A1117" s="91"/>
      <c r="B1117" s="84" t="s">
        <v>1238</v>
      </c>
      <c r="C1117" s="18" t="s">
        <v>1241</v>
      </c>
      <c r="D1117" s="241"/>
      <c r="E1117" s="18" t="s">
        <v>2608</v>
      </c>
      <c r="F1117" s="155" t="str">
        <f>IF(wskakunin_kyoka01_JOUKOU="","",wskakunin_kyoka01_JOUKOU)</f>
        <v/>
      </c>
    </row>
    <row r="1118" spans="1:6" ht="15" customHeight="1" x14ac:dyDescent="0.15">
      <c r="A1118" s="91"/>
      <c r="B1118" s="84" t="s">
        <v>1239</v>
      </c>
      <c r="C1118" s="18" t="s">
        <v>1243</v>
      </c>
      <c r="D1118" s="241"/>
      <c r="E1118" s="18" t="s">
        <v>2609</v>
      </c>
      <c r="F1118" s="155" t="str">
        <f>IF(wskakunin_kyoka01_KYOKA_NO="","",wskakunin_kyoka01_KYOKA_NO)</f>
        <v/>
      </c>
    </row>
    <row r="1119" spans="1:6" ht="15" customHeight="1" x14ac:dyDescent="0.15">
      <c r="A1119" s="91"/>
      <c r="B1119" s="84" t="s">
        <v>1240</v>
      </c>
      <c r="C1119" s="18" t="s">
        <v>1244</v>
      </c>
      <c r="D1119" s="240"/>
      <c r="E1119" s="18" t="s">
        <v>2610</v>
      </c>
      <c r="F1119" s="155" t="str">
        <f>IF(wskakunin_kyoka01_KYOKA_DATE="","",wskakunin_kyoka01_KYOKA_DATE)</f>
        <v/>
      </c>
    </row>
    <row r="1120" spans="1:6" ht="15" customHeight="1" x14ac:dyDescent="0.15">
      <c r="A1120" s="91"/>
      <c r="B1120" s="84" t="s">
        <v>399</v>
      </c>
      <c r="C1120" s="18" t="s">
        <v>1245</v>
      </c>
      <c r="D1120" s="241"/>
      <c r="E1120" s="18" t="s">
        <v>2611</v>
      </c>
      <c r="F1120" s="155" t="str">
        <f>IF(wskakunin_kyoka01_BIKOU="","",wskakunin_kyoka01_BIKOU)</f>
        <v/>
      </c>
    </row>
    <row r="1121" spans="1:6" ht="15" customHeight="1" x14ac:dyDescent="0.15">
      <c r="A1121" s="91"/>
      <c r="B1121" s="149" t="s">
        <v>1257</v>
      </c>
      <c r="D1121" s="36"/>
      <c r="F1121" s="19"/>
    </row>
    <row r="1122" spans="1:6" ht="15" customHeight="1" x14ac:dyDescent="0.15">
      <c r="A1122" s="91"/>
      <c r="B1122" s="149"/>
      <c r="D1122" s="19"/>
      <c r="F1122" s="19"/>
    </row>
    <row r="1123" spans="1:6" ht="15" customHeight="1" x14ac:dyDescent="0.15">
      <c r="A1123" s="94" t="s">
        <v>1187</v>
      </c>
      <c r="B1123" s="148"/>
    </row>
    <row r="1124" spans="1:6" ht="15" customHeight="1" x14ac:dyDescent="0.15">
      <c r="A1124" s="91"/>
      <c r="B1124" s="84" t="s">
        <v>1237</v>
      </c>
      <c r="C1124" s="18" t="s">
        <v>1246</v>
      </c>
      <c r="D1124" s="241"/>
      <c r="E1124" s="18" t="s">
        <v>1261</v>
      </c>
      <c r="F1124" s="155" t="str">
        <f>IF(wskakunin_kyoka02_HOUREI="","",wskakunin_kyoka02_HOUREI)</f>
        <v/>
      </c>
    </row>
    <row r="1125" spans="1:6" ht="15" customHeight="1" x14ac:dyDescent="0.15">
      <c r="A1125" s="91"/>
      <c r="B1125" s="84" t="s">
        <v>1238</v>
      </c>
      <c r="C1125" s="18" t="s">
        <v>1247</v>
      </c>
      <c r="D1125" s="241"/>
      <c r="E1125" s="18" t="s">
        <v>2612</v>
      </c>
      <c r="F1125" s="155" t="str">
        <f>IF(wskakunin_kyoka02_JOUKOU="","",wskakunin_kyoka02_JOUKOU)</f>
        <v/>
      </c>
    </row>
    <row r="1126" spans="1:6" ht="15" customHeight="1" x14ac:dyDescent="0.15">
      <c r="A1126" s="91"/>
      <c r="B1126" s="84" t="s">
        <v>1239</v>
      </c>
      <c r="C1126" s="18" t="s">
        <v>1248</v>
      </c>
      <c r="D1126" s="241"/>
      <c r="E1126" s="18" t="s">
        <v>2613</v>
      </c>
      <c r="F1126" s="155" t="str">
        <f>IF(wskakunin_kyoka02_KYOKA_NO="","",wskakunin_kyoka02_KYOKA_NO)</f>
        <v/>
      </c>
    </row>
    <row r="1127" spans="1:6" ht="15" customHeight="1" x14ac:dyDescent="0.15">
      <c r="A1127" s="91"/>
      <c r="B1127" s="84" t="s">
        <v>1240</v>
      </c>
      <c r="C1127" s="18" t="s">
        <v>1249</v>
      </c>
      <c r="D1127" s="261"/>
      <c r="E1127" s="18" t="s">
        <v>2614</v>
      </c>
      <c r="F1127" s="261" t="str">
        <f>IF(wskakunin_kyoka02_KYOKA_DATE="","",wskakunin_kyoka02_KYOKA_DATE)</f>
        <v/>
      </c>
    </row>
    <row r="1128" spans="1:6" ht="15" customHeight="1" x14ac:dyDescent="0.15">
      <c r="A1128" s="91"/>
      <c r="B1128" s="84" t="s">
        <v>399</v>
      </c>
      <c r="C1128" s="18" t="s">
        <v>1250</v>
      </c>
      <c r="D1128" s="241"/>
      <c r="E1128" s="18" t="s">
        <v>2615</v>
      </c>
      <c r="F1128" s="155" t="str">
        <f>IF(wskakunin_kyoka02_BIKOU="","",wskakunin_kyoka02_BIKOU)</f>
        <v/>
      </c>
    </row>
    <row r="1129" spans="1:6" ht="15" customHeight="1" x14ac:dyDescent="0.15">
      <c r="A1129" s="91"/>
      <c r="B1129" s="149" t="s">
        <v>1259</v>
      </c>
      <c r="D1129" s="36"/>
      <c r="F1129" s="19"/>
    </row>
    <row r="1130" spans="1:6" ht="15" customHeight="1" x14ac:dyDescent="0.15">
      <c r="A1130" s="150"/>
      <c r="B1130" s="149"/>
      <c r="D1130" s="19"/>
      <c r="F1130" s="19"/>
    </row>
    <row r="1131" spans="1:6" ht="15" customHeight="1" x14ac:dyDescent="0.15">
      <c r="A1131" s="94" t="s">
        <v>1191</v>
      </c>
      <c r="B1131" s="148"/>
    </row>
    <row r="1132" spans="1:6" ht="15" customHeight="1" x14ac:dyDescent="0.15">
      <c r="A1132" s="91"/>
      <c r="B1132" s="84" t="s">
        <v>1237</v>
      </c>
      <c r="C1132" s="18" t="s">
        <v>1251</v>
      </c>
      <c r="D1132" s="241"/>
      <c r="E1132" s="18" t="s">
        <v>1262</v>
      </c>
      <c r="F1132" s="155" t="str">
        <f>IF(wskakunin_kyoka03_HOUREI="","",wskakunin_kyoka03_HOUREI)</f>
        <v/>
      </c>
    </row>
    <row r="1133" spans="1:6" ht="15" customHeight="1" x14ac:dyDescent="0.15">
      <c r="A1133" s="91"/>
      <c r="B1133" s="84" t="s">
        <v>1238</v>
      </c>
      <c r="C1133" s="18" t="s">
        <v>1252</v>
      </c>
      <c r="D1133" s="241"/>
      <c r="E1133" s="18" t="s">
        <v>2616</v>
      </c>
      <c r="F1133" s="155" t="str">
        <f>IF(wskakunin_kyoka03_JOUKOU="","",wskakunin_kyoka03_JOUKOU)</f>
        <v/>
      </c>
    </row>
    <row r="1134" spans="1:6" ht="15" customHeight="1" x14ac:dyDescent="0.15">
      <c r="A1134" s="91"/>
      <c r="B1134" s="84" t="s">
        <v>1239</v>
      </c>
      <c r="C1134" s="18" t="s">
        <v>1253</v>
      </c>
      <c r="D1134" s="241"/>
      <c r="E1134" s="18" t="s">
        <v>2617</v>
      </c>
      <c r="F1134" s="155" t="str">
        <f>IF(wskakunin_kyoka03_KYOKA_NO="","",wskakunin_kyoka03_KYOKA_NO)</f>
        <v/>
      </c>
    </row>
    <row r="1135" spans="1:6" ht="15" customHeight="1" x14ac:dyDescent="0.15">
      <c r="A1135" s="91"/>
      <c r="B1135" s="84" t="s">
        <v>1240</v>
      </c>
      <c r="C1135" s="18" t="s">
        <v>1254</v>
      </c>
      <c r="D1135" s="261"/>
      <c r="E1135" s="18" t="s">
        <v>2618</v>
      </c>
      <c r="F1135" s="261" t="str">
        <f>IF(wskakunin_kyoka03_KYOKA_DATE="","",wskakunin_kyoka03_KYOKA_DATE)</f>
        <v/>
      </c>
    </row>
    <row r="1136" spans="1:6" ht="15" customHeight="1" x14ac:dyDescent="0.15">
      <c r="A1136" s="91"/>
      <c r="B1136" s="84" t="s">
        <v>399</v>
      </c>
      <c r="C1136" s="18" t="s">
        <v>1255</v>
      </c>
      <c r="D1136" s="241"/>
      <c r="E1136" s="18" t="s">
        <v>2619</v>
      </c>
      <c r="F1136" s="155" t="str">
        <f>IF(wskakunin_kyoka03_BIKOU="","",wskakunin_kyoka03_BIKOU)</f>
        <v/>
      </c>
    </row>
    <row r="1137" spans="1:8" ht="15" customHeight="1" x14ac:dyDescent="0.15">
      <c r="A1137" s="91"/>
      <c r="B1137" s="149" t="s">
        <v>1258</v>
      </c>
      <c r="D1137" s="36"/>
      <c r="F1137" s="19"/>
    </row>
    <row r="1138" spans="1:8" ht="15" customHeight="1" x14ac:dyDescent="0.15">
      <c r="A1138" s="150"/>
      <c r="B1138" s="84"/>
      <c r="D1138" s="19"/>
      <c r="F1138" s="19"/>
    </row>
    <row r="1139" spans="1:8" ht="15" customHeight="1" x14ac:dyDescent="0.15">
      <c r="A1139" s="91" t="s">
        <v>1256</v>
      </c>
      <c r="B1139" s="147"/>
      <c r="D1139" s="19"/>
      <c r="E1139" s="18" t="s">
        <v>1263</v>
      </c>
      <c r="F1139" s="155" t="str">
        <f>cst_wskakunin_kyoka01_HOUREI&amp;IF(cst_wskakunin_kyoka02_HOUREI&lt;&gt;"",CHAR(10)&amp;cst_wskakunin_kyoka02_HOUREI,cst_wskakunin_kyoka02_HOUREI)&amp;IF(cst_wskakunin_kyoka03_HOUREI&lt;&gt;"",CHAR(10)&amp;cst_wskakunin_kyoka03_HOUREI,cst_wskakunin_kyoka03_HOUREI)</f>
        <v/>
      </c>
      <c r="G1139" s="18" t="s">
        <v>1264</v>
      </c>
    </row>
    <row r="1140" spans="1:8" ht="15" customHeight="1" x14ac:dyDescent="0.15">
      <c r="A1140" s="93"/>
      <c r="B1140" s="99"/>
      <c r="D1140" s="19"/>
      <c r="F1140" s="19"/>
    </row>
    <row r="1141" spans="1:8" ht="15" customHeight="1" x14ac:dyDescent="0.15">
      <c r="A1141" s="89" t="s">
        <v>1173</v>
      </c>
      <c r="B1141" s="98"/>
      <c r="C1141" s="18" t="s">
        <v>1174</v>
      </c>
      <c r="D1141" s="261"/>
      <c r="E1141" s="18" t="s">
        <v>1175</v>
      </c>
      <c r="F1141" s="261" t="str">
        <f>IF(wskakunin_KOUJI_TYAKUSYU_YOTEI_DATE="", "", wskakunin_KOUJI_TYAKUSYU_YOTEI_DATE)</f>
        <v/>
      </c>
    </row>
    <row r="1142" spans="1:8" ht="15" customHeight="1" x14ac:dyDescent="0.15">
      <c r="A1142" s="207"/>
      <c r="B1142" s="214"/>
      <c r="D1142" s="19"/>
      <c r="F1142" s="19"/>
    </row>
    <row r="1143" spans="1:8" ht="15" customHeight="1" x14ac:dyDescent="0.15">
      <c r="A1143" s="89" t="s">
        <v>1176</v>
      </c>
      <c r="B1143" s="98"/>
      <c r="C1143" s="18" t="s">
        <v>1177</v>
      </c>
      <c r="D1143" s="261"/>
      <c r="E1143" s="18" t="s">
        <v>1178</v>
      </c>
      <c r="F1143" s="261" t="str">
        <f>IF(wskakunin_KOUJI_KANRYOU_YOTEI_DATE="", "", wskakunin_KOUJI_KANRYOU_YOTEI_DATE)</f>
        <v/>
      </c>
    </row>
    <row r="1144" spans="1:8" ht="15" customHeight="1" x14ac:dyDescent="0.15">
      <c r="A1144" s="93"/>
      <c r="B1144" s="99"/>
      <c r="D1144" s="19"/>
      <c r="F1144" s="19"/>
    </row>
    <row r="1145" spans="1:8" ht="15" customHeight="1" x14ac:dyDescent="0.15">
      <c r="A1145" s="50"/>
      <c r="B1145" s="51" t="s">
        <v>606</v>
      </c>
      <c r="E1145" s="18" t="s">
        <v>2403</v>
      </c>
      <c r="F1145" s="46" t="str">
        <f>IF(OR(wskakunin_KOUJI_TYAKUSYU_YOTEI_DATE="",wskakunin_KOUJI_KANRYOU_YOTEI_DATE=""),"",IF(DATEDIF(wskakunin_KOUJI_TYAKUSYU_YOTEI_DATE,wskakunin_KOUJI_KANRYOU_YOTEI_DATE,"D")&lt;=44,0,DATEDIF(wskakunin_KOUJI_TYAKUSYU_YOTEI_DATE,wskakunin_KOUJI_KANRYOU_YOTEI_DATE+16,"Y")))</f>
        <v/>
      </c>
      <c r="G1145" s="19"/>
      <c r="H1145" s="19"/>
    </row>
    <row r="1146" spans="1:8" ht="15" customHeight="1" x14ac:dyDescent="0.15">
      <c r="A1146" s="52"/>
      <c r="B1146" s="68" t="s">
        <v>607</v>
      </c>
      <c r="E1146" s="18" t="s">
        <v>2404</v>
      </c>
      <c r="F1146" s="46" t="str">
        <f>IF(OR(wskakunin_KOUJI_TYAKUSYU_YOTEI_DATE="",wskakunin_KOUJI_KANRYOU_YOTEI_DATE=""),"",IF(DATEDIF(wskakunin_KOUJI_TYAKUSYU_YOTEI_DATE,wskakunin_KOUJI_KANRYOU_YOTEI_DATE,"D")&lt;=44,1,DATEDIF(wskakunin_KOUJI_TYAKUSYU_YOTEI_DATE,wskakunin_KOUJI_KANRYOU_YOTEI_DATE+16,"YM")))</f>
        <v/>
      </c>
      <c r="G1146" s="19"/>
      <c r="H1146" s="19"/>
    </row>
    <row r="1147" spans="1:8" ht="15" customHeight="1" x14ac:dyDescent="0.15">
      <c r="A1147" s="53"/>
      <c r="B1147" s="65"/>
      <c r="G1147" s="19"/>
      <c r="H1147" s="19"/>
    </row>
    <row r="1148" spans="1:8" ht="15" customHeight="1" x14ac:dyDescent="0.15">
      <c r="G1148" s="19"/>
      <c r="H1148" s="19"/>
    </row>
    <row r="1149" spans="1:8" ht="15" customHeight="1" x14ac:dyDescent="0.15">
      <c r="A1149" s="90" t="s">
        <v>1179</v>
      </c>
      <c r="B1149" s="111"/>
    </row>
    <row r="1150" spans="1:8" ht="15" customHeight="1" x14ac:dyDescent="0.15">
      <c r="A1150" s="94" t="s">
        <v>1180</v>
      </c>
      <c r="B1150" s="112"/>
    </row>
    <row r="1151" spans="1:8" ht="15" customHeight="1" x14ac:dyDescent="0.15">
      <c r="A1151" s="92"/>
      <c r="B1151" s="84" t="s">
        <v>631</v>
      </c>
      <c r="C1151" s="18" t="s">
        <v>1181</v>
      </c>
      <c r="D1151" s="155"/>
      <c r="E1151" s="18" t="s">
        <v>1182</v>
      </c>
      <c r="F1151" s="155" t="str">
        <f>IF(wskakunin_koutei01_KOUTEI_KAISUU="","",wskakunin_koutei01_KOUTEI_KAISUU)</f>
        <v/>
      </c>
    </row>
    <row r="1152" spans="1:8" ht="15" customHeight="1" x14ac:dyDescent="0.15">
      <c r="A1152" s="92"/>
      <c r="B1152" s="84" t="s">
        <v>632</v>
      </c>
      <c r="C1152" s="18" t="s">
        <v>1183</v>
      </c>
      <c r="D1152" s="261"/>
      <c r="E1152" s="18" t="s">
        <v>1184</v>
      </c>
      <c r="F1152" s="261" t="str">
        <f>IF(wskakunin_koutei01_KOUTEI_DATE="","",wskakunin_koutei01_KOUTEI_DATE)</f>
        <v/>
      </c>
    </row>
    <row r="1153" spans="1:6" ht="15" customHeight="1" x14ac:dyDescent="0.15">
      <c r="A1153" s="92"/>
      <c r="B1153" s="84" t="s">
        <v>633</v>
      </c>
      <c r="C1153" s="18" t="s">
        <v>1185</v>
      </c>
      <c r="D1153" s="155"/>
      <c r="E1153" s="18" t="s">
        <v>1186</v>
      </c>
      <c r="F1153" s="155" t="str">
        <f>IF(wskakunin_koutei01_KOUTEI_TEXT="","",wskakunin_koutei01_KOUTEI_TEXT)</f>
        <v/>
      </c>
    </row>
    <row r="1154" spans="1:6" ht="15" customHeight="1" x14ac:dyDescent="0.15">
      <c r="A1154" s="95"/>
      <c r="B1154" s="84"/>
      <c r="D1154" s="19"/>
      <c r="F1154" s="19"/>
    </row>
    <row r="1155" spans="1:6" ht="15" customHeight="1" x14ac:dyDescent="0.15">
      <c r="A1155" s="94" t="s">
        <v>1187</v>
      </c>
      <c r="B1155" s="112"/>
    </row>
    <row r="1156" spans="1:6" ht="15" customHeight="1" x14ac:dyDescent="0.15">
      <c r="A1156" s="92"/>
      <c r="B1156" s="84" t="s">
        <v>631</v>
      </c>
      <c r="C1156" s="18" t="s">
        <v>1188</v>
      </c>
      <c r="D1156" s="155"/>
      <c r="E1156" s="18" t="s">
        <v>548</v>
      </c>
      <c r="F1156" s="155" t="str">
        <f>IF(wskakunin_koutei02_KOUTEI_KAISUU="","",wskakunin_koutei02_KOUTEI_KAISUU)</f>
        <v/>
      </c>
    </row>
    <row r="1157" spans="1:6" ht="15" customHeight="1" x14ac:dyDescent="0.15">
      <c r="A1157" s="92"/>
      <c r="B1157" s="84" t="s">
        <v>632</v>
      </c>
      <c r="C1157" s="18" t="s">
        <v>1189</v>
      </c>
      <c r="D1157" s="261"/>
      <c r="E1157" s="18" t="s">
        <v>549</v>
      </c>
      <c r="F1157" s="261" t="str">
        <f>IF(wskakunin_koutei02_KOUTEI_DATE="","",wskakunin_koutei02_KOUTEI_DATE)</f>
        <v/>
      </c>
    </row>
    <row r="1158" spans="1:6" ht="15" customHeight="1" x14ac:dyDescent="0.15">
      <c r="A1158" s="92"/>
      <c r="B1158" s="84" t="s">
        <v>633</v>
      </c>
      <c r="C1158" s="18" t="s">
        <v>1190</v>
      </c>
      <c r="D1158" s="155"/>
      <c r="E1158" s="18" t="s">
        <v>550</v>
      </c>
      <c r="F1158" s="155" t="str">
        <f>IF(wskakunin_koutei02_KOUTEI_TEXT="","",wskakunin_koutei02_KOUTEI_TEXT)</f>
        <v/>
      </c>
    </row>
    <row r="1159" spans="1:6" ht="15" customHeight="1" x14ac:dyDescent="0.15">
      <c r="A1159" s="96"/>
      <c r="B1159" s="84"/>
      <c r="D1159" s="19"/>
      <c r="F1159" s="19"/>
    </row>
    <row r="1160" spans="1:6" ht="15" customHeight="1" x14ac:dyDescent="0.15">
      <c r="A1160" s="91" t="s">
        <v>1191</v>
      </c>
      <c r="B1160" s="46"/>
    </row>
    <row r="1161" spans="1:6" ht="15" customHeight="1" x14ac:dyDescent="0.15">
      <c r="A1161" s="92"/>
      <c r="B1161" s="84" t="s">
        <v>631</v>
      </c>
      <c r="C1161" s="18" t="s">
        <v>1192</v>
      </c>
      <c r="D1161" s="155"/>
      <c r="E1161" s="18" t="s">
        <v>1193</v>
      </c>
      <c r="F1161" s="155" t="str">
        <f>IF(wskakunin_koutei03_KOUTEI_KAISUU="","",wskakunin_koutei03_KOUTEI_KAISUU)</f>
        <v/>
      </c>
    </row>
    <row r="1162" spans="1:6" ht="15" customHeight="1" x14ac:dyDescent="0.15">
      <c r="A1162" s="92"/>
      <c r="B1162" s="84" t="s">
        <v>632</v>
      </c>
      <c r="C1162" s="18" t="s">
        <v>1194</v>
      </c>
      <c r="D1162" s="261"/>
      <c r="E1162" s="18" t="s">
        <v>1195</v>
      </c>
      <c r="F1162" s="261" t="str">
        <f>IF(wskakunin_koutei03_KOUTEI_DATE="","",wskakunin_koutei03_KOUTEI_DATE)</f>
        <v/>
      </c>
    </row>
    <row r="1163" spans="1:6" ht="15" customHeight="1" x14ac:dyDescent="0.15">
      <c r="A1163" s="92"/>
      <c r="B1163" s="84" t="s">
        <v>633</v>
      </c>
      <c r="C1163" s="18" t="s">
        <v>1196</v>
      </c>
      <c r="D1163" s="155"/>
      <c r="E1163" s="18" t="s">
        <v>1197</v>
      </c>
      <c r="F1163" s="155" t="str">
        <f>IF(wskakunin_koutei03_KOUTEI_TEXT="","",wskakunin_koutei03_KOUTEI_TEXT)</f>
        <v/>
      </c>
    </row>
    <row r="1164" spans="1:6" ht="15" customHeight="1" x14ac:dyDescent="0.15">
      <c r="A1164" s="96"/>
      <c r="B1164" s="84"/>
      <c r="D1164" s="19"/>
      <c r="F1164" s="19"/>
    </row>
    <row r="1165" spans="1:6" ht="15" customHeight="1" x14ac:dyDescent="0.15">
      <c r="A1165" s="91" t="s">
        <v>2366</v>
      </c>
      <c r="B1165" s="46"/>
    </row>
    <row r="1166" spans="1:6" ht="15" customHeight="1" x14ac:dyDescent="0.15">
      <c r="A1166" s="92"/>
      <c r="B1166" s="84" t="s">
        <v>631</v>
      </c>
      <c r="C1166" s="18" t="s">
        <v>2593</v>
      </c>
      <c r="D1166" s="155"/>
      <c r="E1166" s="18" t="s">
        <v>2658</v>
      </c>
      <c r="F1166" s="155" t="str">
        <f>IF(wskakunin_koutei04_KOUTEI_KAISUU="","",wskakunin_koutei04_KOUTEI_KAISUU)</f>
        <v/>
      </c>
    </row>
    <row r="1167" spans="1:6" ht="15" customHeight="1" x14ac:dyDescent="0.15">
      <c r="A1167" s="92"/>
      <c r="B1167" s="84" t="s">
        <v>632</v>
      </c>
      <c r="C1167" s="18" t="s">
        <v>2594</v>
      </c>
      <c r="D1167" s="261"/>
      <c r="E1167" s="18" t="s">
        <v>2659</v>
      </c>
      <c r="F1167" s="261" t="str">
        <f>IF(wskakunin_koutei04_KOUTEI_DATE="","",wskakunin_koutei04_KOUTEI_DATE)</f>
        <v/>
      </c>
    </row>
    <row r="1168" spans="1:6" ht="15" customHeight="1" x14ac:dyDescent="0.15">
      <c r="A1168" s="92"/>
      <c r="B1168" s="84" t="s">
        <v>633</v>
      </c>
      <c r="C1168" s="18" t="s">
        <v>2595</v>
      </c>
      <c r="D1168" s="155"/>
      <c r="E1168" s="18" t="s">
        <v>2660</v>
      </c>
      <c r="F1168" s="155" t="str">
        <f>IF(wskakunin_koutei04_KOUTEI_TEXT="","",wskakunin_koutei04_KOUTEI_TEXT)</f>
        <v/>
      </c>
    </row>
    <row r="1169" spans="1:6" ht="15" customHeight="1" x14ac:dyDescent="0.15">
      <c r="A1169" s="97"/>
      <c r="B1169" s="267"/>
      <c r="D1169" s="19"/>
      <c r="F1169" s="19"/>
    </row>
    <row r="1170" spans="1:6" ht="15" customHeight="1" x14ac:dyDescent="0.15">
      <c r="A1170" s="266" t="s">
        <v>2665</v>
      </c>
      <c r="B1170" s="268"/>
      <c r="C1170" s="18" t="s">
        <v>2666</v>
      </c>
      <c r="D1170" s="155"/>
      <c r="E1170" s="18" t="s">
        <v>2667</v>
      </c>
      <c r="F1170" s="155" t="str">
        <f>IF(wskakunin_BOUKA_SETUBI_FLAG="","",wskakunin_BOUKA_SETUBI_FLAG)</f>
        <v/>
      </c>
    </row>
    <row r="1171" spans="1:6" ht="15" customHeight="1" x14ac:dyDescent="0.15">
      <c r="A1171" s="266"/>
      <c r="B1171" s="84" t="s">
        <v>628</v>
      </c>
      <c r="D1171" s="19"/>
      <c r="E1171" s="18" t="s">
        <v>2668</v>
      </c>
      <c r="F1171" s="155" t="str">
        <f>IF(wskakunin_BOUKA_SETUBI_FLAG=1,"■","□")</f>
        <v>□</v>
      </c>
    </row>
    <row r="1172" spans="1:6" ht="15" customHeight="1" x14ac:dyDescent="0.15">
      <c r="A1172" s="266"/>
      <c r="B1172" s="84" t="s">
        <v>629</v>
      </c>
      <c r="D1172" s="19"/>
      <c r="E1172" s="18" t="s">
        <v>2669</v>
      </c>
      <c r="F1172" s="155" t="str">
        <f>IF(wskakunin_BOUKA_SETUBI_FLAG="","□",IF(wskakunin_BOUKA_SETUBI_FLAG=0,"■","□"))</f>
        <v>□</v>
      </c>
    </row>
    <row r="1173" spans="1:6" ht="15" customHeight="1" x14ac:dyDescent="0.15">
      <c r="A1173" s="266"/>
      <c r="B1173" s="147"/>
      <c r="D1173" s="19"/>
      <c r="F1173" s="19"/>
    </row>
    <row r="1174" spans="1:6" ht="15" customHeight="1" x14ac:dyDescent="0.15">
      <c r="A1174" s="32" t="s">
        <v>1198</v>
      </c>
      <c r="B1174" s="98"/>
      <c r="C1174" s="18" t="s">
        <v>1199</v>
      </c>
      <c r="D1174" s="155"/>
      <c r="E1174" s="18" t="s">
        <v>1200</v>
      </c>
      <c r="F1174" s="155" t="str">
        <f>IF(wskakunin_P3_SONOTA="","",wskakunin_P3_SONOTA)</f>
        <v/>
      </c>
    </row>
    <row r="1175" spans="1:6" ht="15" customHeight="1" x14ac:dyDescent="0.15">
      <c r="A1175" s="33"/>
      <c r="B1175" s="99"/>
      <c r="D1175" s="19"/>
      <c r="F1175" s="19"/>
    </row>
    <row r="1176" spans="1:6" ht="15" customHeight="1" x14ac:dyDescent="0.15">
      <c r="A1176" s="100" t="s">
        <v>528</v>
      </c>
      <c r="B1176" s="101"/>
      <c r="C1176" s="18" t="s">
        <v>1201</v>
      </c>
      <c r="D1176" s="155"/>
      <c r="E1176" s="18" t="s">
        <v>1202</v>
      </c>
      <c r="F1176" s="155" t="str">
        <f>IF(wskakunin_P3_BIKOU="","",wskakunin_P3_BIKOU)</f>
        <v/>
      </c>
    </row>
    <row r="1177" spans="1:6" ht="15" customHeight="1" x14ac:dyDescent="0.15">
      <c r="A1177" s="53"/>
      <c r="B1177" s="65"/>
    </row>
    <row r="1180" spans="1:6" ht="15" customHeight="1" x14ac:dyDescent="0.15">
      <c r="A1180" s="182" t="s">
        <v>1203</v>
      </c>
      <c r="B1180" s="108" t="s">
        <v>30</v>
      </c>
    </row>
    <row r="1181" spans="1:6" ht="15" customHeight="1" x14ac:dyDescent="0.15">
      <c r="A1181" s="90" t="s">
        <v>640</v>
      </c>
      <c r="B1181" s="111"/>
    </row>
    <row r="1182" spans="1:6" ht="15" customHeight="1" x14ac:dyDescent="0.15">
      <c r="A1182" s="183" t="s">
        <v>639</v>
      </c>
      <c r="B1182" s="184"/>
    </row>
    <row r="1183" spans="1:6" ht="15" customHeight="1" x14ac:dyDescent="0.15">
      <c r="A1183" s="52"/>
      <c r="B1183" s="76" t="s">
        <v>2244</v>
      </c>
      <c r="E1183" s="36" t="s">
        <v>2245</v>
      </c>
      <c r="F1183" s="46" t="str">
        <f>IF(wskakunin_TOKUREI_1="1","第１号",IF(wskakunin_TOKUREI_2="1","第２号",IF(wskakunin_TOKUREI_3="1","第３号",IF(wskakunin_TOKUREI_4="1","第４号",""))))</f>
        <v/>
      </c>
    </row>
    <row r="1184" spans="1:6" ht="15" customHeight="1" x14ac:dyDescent="0.15">
      <c r="A1184" s="52"/>
      <c r="B1184" s="75" t="s">
        <v>635</v>
      </c>
      <c r="C1184" s="36" t="s">
        <v>1265</v>
      </c>
      <c r="D1184" s="242"/>
    </row>
    <row r="1185" spans="1:7" ht="15" customHeight="1" x14ac:dyDescent="0.15">
      <c r="A1185" s="52"/>
      <c r="B1185" s="75" t="s">
        <v>636</v>
      </c>
      <c r="C1185" s="36" t="s">
        <v>1266</v>
      </c>
      <c r="D1185" s="242"/>
    </row>
    <row r="1186" spans="1:7" ht="15" customHeight="1" x14ac:dyDescent="0.15">
      <c r="A1186" s="52"/>
      <c r="B1186" s="75" t="s">
        <v>637</v>
      </c>
      <c r="C1186" s="36" t="s">
        <v>1267</v>
      </c>
      <c r="D1186" s="242"/>
    </row>
    <row r="1187" spans="1:7" ht="15" customHeight="1" x14ac:dyDescent="0.15">
      <c r="A1187" s="52"/>
      <c r="B1187" s="75" t="s">
        <v>638</v>
      </c>
      <c r="C1187" s="36" t="s">
        <v>1268</v>
      </c>
      <c r="D1187" s="242"/>
    </row>
    <row r="1188" spans="1:7" ht="15" customHeight="1" x14ac:dyDescent="0.15">
      <c r="A1188" s="185"/>
      <c r="B1188" s="76"/>
    </row>
    <row r="1189" spans="1:7" ht="15" customHeight="1" x14ac:dyDescent="0.15">
      <c r="A1189" s="50" t="s">
        <v>641</v>
      </c>
      <c r="B1189" s="51"/>
      <c r="C1189" s="18" t="s">
        <v>1269</v>
      </c>
      <c r="D1189" s="242"/>
      <c r="E1189" s="18" t="s">
        <v>2253</v>
      </c>
      <c r="F1189" s="46" t="str">
        <f>IF(wskakunin_KENTIKU_NINSYO_NO="","",wskakunin_KENTIKU_NINSYO_NO)</f>
        <v/>
      </c>
    </row>
    <row r="1190" spans="1:7" ht="15" customHeight="1" x14ac:dyDescent="0.15">
      <c r="A1190" s="180"/>
      <c r="B1190" s="181"/>
    </row>
    <row r="1191" spans="1:7" ht="15" customHeight="1" x14ac:dyDescent="0.15">
      <c r="A1191" s="186" t="s">
        <v>642</v>
      </c>
      <c r="B1191" s="51"/>
      <c r="C1191" s="18" t="s">
        <v>2254</v>
      </c>
      <c r="D1191" s="264"/>
      <c r="E1191" s="18" t="s">
        <v>2270</v>
      </c>
      <c r="F1191" s="264" t="str">
        <f ca="1">IF(chk_JOB_KIND_kakunin=1,"",IF(wskakunin_KOUJI_TYAKUSYU_DATE="","",wskakunin_KOUJI_TYAKUSYU_DATE))</f>
        <v/>
      </c>
      <c r="G1191" s="18" t="s">
        <v>2256</v>
      </c>
    </row>
    <row r="1192" spans="1:7" ht="15" customHeight="1" x14ac:dyDescent="0.15">
      <c r="A1192" s="187"/>
      <c r="B1192" s="181"/>
      <c r="D1192" s="107"/>
    </row>
    <row r="1193" spans="1:7" ht="15" customHeight="1" x14ac:dyDescent="0.15">
      <c r="A1193" s="186" t="s">
        <v>2650</v>
      </c>
      <c r="B1193" s="51"/>
      <c r="D1193" s="107"/>
    </row>
    <row r="1194" spans="1:7" ht="15" customHeight="1" x14ac:dyDescent="0.15">
      <c r="A1194" s="237"/>
      <c r="B1194" s="76" t="s">
        <v>2649</v>
      </c>
      <c r="D1194" s="107"/>
      <c r="E1194" s="18" t="s">
        <v>2651</v>
      </c>
      <c r="F1194" s="264" t="str">
        <f ca="1">IF(chk_JOB_KIND_kakunin=1,"",IF(wskakunin_KOUJI_KANRYOU_YOTEI_DATE="","",wskakunin_KOUJI_KANRYOU_YOTEI_DATE))</f>
        <v/>
      </c>
    </row>
    <row r="1195" spans="1:7" ht="15" customHeight="1" x14ac:dyDescent="0.15">
      <c r="A1195" s="186" t="s">
        <v>643</v>
      </c>
      <c r="B1195" s="51"/>
    </row>
    <row r="1196" spans="1:7" ht="15" customHeight="1" x14ac:dyDescent="0.15">
      <c r="A1196" s="52"/>
      <c r="B1196" s="75" t="s">
        <v>559</v>
      </c>
      <c r="C1196" s="18" t="s">
        <v>1290</v>
      </c>
      <c r="D1196" s="242"/>
      <c r="E1196" s="18" t="s">
        <v>2272</v>
      </c>
      <c r="F1196" s="46" t="str">
        <f>IF(wskakunin_TOKUTEI_KOUTEI="","",wskakunin_TOKUTEI_KOUTEI)</f>
        <v/>
      </c>
      <c r="G1196" s="18" t="s">
        <v>2258</v>
      </c>
    </row>
    <row r="1197" spans="1:7" ht="15" customHeight="1" x14ac:dyDescent="0.15">
      <c r="A1197" s="52"/>
      <c r="B1197" s="76" t="s">
        <v>2259</v>
      </c>
      <c r="E1197" s="18" t="s">
        <v>2273</v>
      </c>
      <c r="F1197" s="46" t="str">
        <f ca="1">IF(chk_JOB_KIND_kakunin=1,IF(wskakunin_koutei01_KOUTEI_TEXT="","",wskakunin_koutei01_KOUTEI_TEXT),cst_wskakunin_TOKUTEI_KOUTEI)</f>
        <v/>
      </c>
    </row>
    <row r="1198" spans="1:7" ht="15" customHeight="1" x14ac:dyDescent="0.15">
      <c r="A1198" s="52"/>
      <c r="B1198" s="76" t="s">
        <v>2260</v>
      </c>
      <c r="E1198" s="18" t="s">
        <v>2274</v>
      </c>
      <c r="F1198" s="46" t="str">
        <f ca="1">IF(chk_JOB_KIND_kakunin=1,IF(wskakunin_koutei02_KOUTEI_TEXT="","",wskakunin_koutei02_KOUTEI_TEXT),cst_wskakunin_TOKUTEI_KOUTEI)</f>
        <v/>
      </c>
    </row>
    <row r="1199" spans="1:7" ht="15" customHeight="1" x14ac:dyDescent="0.15">
      <c r="A1199" s="52"/>
      <c r="B1199" s="75" t="s">
        <v>644</v>
      </c>
      <c r="C1199" s="18" t="s">
        <v>1291</v>
      </c>
      <c r="D1199" s="264"/>
      <c r="E1199" s="18" t="s">
        <v>2275</v>
      </c>
      <c r="F1199" s="264" t="str">
        <f ca="1">IF(chk_JOB_KIND_kakunin=1,"",IF(wskakunin_TOKUTEI_KOUJI_KANRYOU_DATE="","",wskakunin_TOKUTEI_KOUJI_KANRYOU_DATE))</f>
        <v/>
      </c>
      <c r="G1199" s="18" t="s">
        <v>2256</v>
      </c>
    </row>
    <row r="1200" spans="1:7" ht="15" customHeight="1" x14ac:dyDescent="0.15">
      <c r="A1200" s="52"/>
      <c r="B1200" s="75"/>
      <c r="D1200" s="107"/>
    </row>
    <row r="1201" spans="1:7" ht="15" customHeight="1" x14ac:dyDescent="0.15">
      <c r="A1201" s="52"/>
      <c r="B1201" s="75" t="s">
        <v>645</v>
      </c>
      <c r="C1201" s="18" t="s">
        <v>1292</v>
      </c>
      <c r="D1201" s="263"/>
      <c r="E1201" s="18" t="s">
        <v>2276</v>
      </c>
      <c r="F1201" s="46" t="str">
        <f ca="1">IF(chk_JOB_KIND_kakunin=1,"",IF(wskakunin_KENSA_YUKA_MENSEKI="","",wskakunin_KENSA_YUKA_MENSEKI))</f>
        <v/>
      </c>
      <c r="G1201" s="18" t="s">
        <v>2256</v>
      </c>
    </row>
    <row r="1202" spans="1:7" ht="15" customHeight="1" x14ac:dyDescent="0.15">
      <c r="A1202" s="180"/>
      <c r="B1202" s="189"/>
    </row>
    <row r="1203" spans="1:7" ht="15" customHeight="1" x14ac:dyDescent="0.15">
      <c r="A1203" s="186" t="s">
        <v>646</v>
      </c>
      <c r="B1203" s="51"/>
    </row>
    <row r="1204" spans="1:7" ht="15" customHeight="1" x14ac:dyDescent="0.15">
      <c r="A1204" s="201" t="s">
        <v>1180</v>
      </c>
      <c r="B1204" s="184"/>
    </row>
    <row r="1205" spans="1:7" ht="15" customHeight="1" x14ac:dyDescent="0.15">
      <c r="A1205" s="202"/>
      <c r="B1205" s="76" t="s">
        <v>631</v>
      </c>
      <c r="C1205" s="18" t="s">
        <v>1293</v>
      </c>
      <c r="D1205" s="242"/>
      <c r="E1205" s="18" t="s">
        <v>2277</v>
      </c>
      <c r="F1205" s="46" t="str">
        <f>IF(wskakunin_koutei_izen01_KOUTEI_KAISUU="","",wskakunin_koutei_izen01_KOUTEI_KAISUU)</f>
        <v/>
      </c>
    </row>
    <row r="1206" spans="1:7" ht="15" customHeight="1" x14ac:dyDescent="0.15">
      <c r="A1206" s="202"/>
      <c r="B1206" s="75" t="s">
        <v>559</v>
      </c>
      <c r="C1206" s="18" t="s">
        <v>1294</v>
      </c>
      <c r="D1206" s="242"/>
      <c r="E1206" s="18" t="s">
        <v>2278</v>
      </c>
      <c r="F1206" s="46" t="str">
        <f>IF(wskakunin_koutei_izen01_KOUTEI_TEXT="","",wskakunin_koutei_izen01_KOUTEI_TEXT)</f>
        <v/>
      </c>
    </row>
    <row r="1207" spans="1:7" ht="15" customHeight="1" x14ac:dyDescent="0.15">
      <c r="A1207" s="202"/>
      <c r="B1207" s="117" t="s">
        <v>647</v>
      </c>
      <c r="C1207" s="18" t="s">
        <v>1295</v>
      </c>
      <c r="D1207" s="242"/>
      <c r="E1207" s="18" t="s">
        <v>2279</v>
      </c>
      <c r="F1207" s="46" t="str">
        <f>IF(wskakunin_koutei_izen01_INTER_ISSUE_NAME="","",wskakunin_koutei_izen01_INTER_ISSUE_NAME)</f>
        <v/>
      </c>
    </row>
    <row r="1208" spans="1:7" ht="15" customHeight="1" x14ac:dyDescent="0.15">
      <c r="A1208" s="202"/>
      <c r="B1208" s="117" t="s">
        <v>648</v>
      </c>
      <c r="C1208" s="18" t="s">
        <v>1296</v>
      </c>
      <c r="D1208" s="242"/>
      <c r="E1208" s="18" t="s">
        <v>2280</v>
      </c>
      <c r="F1208" s="46" t="str">
        <f>IF(wskakunin_koutei_izen01_INTER_ISSUE_NO="","",wskakunin_koutei_izen01_INTER_ISSUE_NO)</f>
        <v/>
      </c>
    </row>
    <row r="1209" spans="1:7" ht="15" customHeight="1" x14ac:dyDescent="0.15">
      <c r="A1209" s="202"/>
      <c r="B1209" s="117" t="s">
        <v>649</v>
      </c>
      <c r="C1209" s="18" t="s">
        <v>1297</v>
      </c>
      <c r="D1209" s="264"/>
      <c r="E1209" s="18" t="s">
        <v>2281</v>
      </c>
      <c r="F1209" s="264" t="str">
        <f>IF(wskakunin_koutei_izen01_INTER_ISSUE_DATE="","",wskakunin_koutei_izen01_INTER_ISSUE_DATE)</f>
        <v/>
      </c>
    </row>
    <row r="1210" spans="1:7" ht="15" customHeight="1" x14ac:dyDescent="0.15">
      <c r="A1210" s="203"/>
      <c r="B1210" s="76"/>
    </row>
    <row r="1211" spans="1:7" ht="15" customHeight="1" x14ac:dyDescent="0.15">
      <c r="A1211" s="202" t="s">
        <v>1187</v>
      </c>
      <c r="B1211" s="156"/>
    </row>
    <row r="1212" spans="1:7" ht="15" customHeight="1" x14ac:dyDescent="0.15">
      <c r="A1212" s="202"/>
      <c r="B1212" s="76" t="s">
        <v>631</v>
      </c>
      <c r="C1212" s="18" t="s">
        <v>1298</v>
      </c>
      <c r="D1212" s="242"/>
      <c r="E1212" s="18" t="s">
        <v>2295</v>
      </c>
      <c r="F1212" s="46" t="str">
        <f>IF(wskakunin_koutei_izen02_KOUTEI_KAISUU="","",wskakunin_koutei_izen02_KOUTEI_KAISUU)</f>
        <v/>
      </c>
    </row>
    <row r="1213" spans="1:7" ht="15" customHeight="1" x14ac:dyDescent="0.15">
      <c r="A1213" s="202"/>
      <c r="B1213" s="75" t="s">
        <v>559</v>
      </c>
      <c r="C1213" s="18" t="s">
        <v>1299</v>
      </c>
      <c r="D1213" s="242"/>
      <c r="E1213" s="18" t="s">
        <v>2296</v>
      </c>
      <c r="F1213" s="46" t="str">
        <f>IF(wskakunin_koutei_izen02_KOUTEI_TEXT="","",wskakunin_koutei_izen02_KOUTEI_TEXT)</f>
        <v/>
      </c>
    </row>
    <row r="1214" spans="1:7" ht="15" customHeight="1" x14ac:dyDescent="0.15">
      <c r="A1214" s="202"/>
      <c r="B1214" s="117" t="s">
        <v>647</v>
      </c>
      <c r="C1214" s="18" t="s">
        <v>1300</v>
      </c>
      <c r="D1214" s="242"/>
      <c r="E1214" s="18" t="s">
        <v>2297</v>
      </c>
      <c r="F1214" s="46" t="str">
        <f>IF(wskakunin_koutei_izen02_INTER_ISSUE_NAME="","",wskakunin_koutei_izen02_INTER_ISSUE_NAME)</f>
        <v/>
      </c>
    </row>
    <row r="1215" spans="1:7" ht="15" customHeight="1" x14ac:dyDescent="0.15">
      <c r="A1215" s="202"/>
      <c r="B1215" s="117" t="s">
        <v>648</v>
      </c>
      <c r="C1215" s="18" t="s">
        <v>1301</v>
      </c>
      <c r="D1215" s="242"/>
      <c r="E1215" s="18" t="s">
        <v>2298</v>
      </c>
      <c r="F1215" s="46" t="str">
        <f>IF(wskakunin_koutei_izen02_INTER_ISSUE_NO="","",wskakunin_koutei_izen02_INTER_ISSUE_NO)</f>
        <v/>
      </c>
    </row>
    <row r="1216" spans="1:7" ht="15" customHeight="1" x14ac:dyDescent="0.15">
      <c r="A1216" s="202"/>
      <c r="B1216" s="117" t="s">
        <v>649</v>
      </c>
      <c r="C1216" s="18" t="s">
        <v>1302</v>
      </c>
      <c r="D1216" s="264"/>
      <c r="E1216" s="18" t="s">
        <v>2299</v>
      </c>
      <c r="F1216" s="264" t="str">
        <f>IF(wskakunin_koutei_izen02_INTER_ISSUE_DATE="","",wskakunin_koutei_izen02_INTER_ISSUE_DATE)</f>
        <v/>
      </c>
    </row>
    <row r="1217" spans="1:7" ht="15" customHeight="1" x14ac:dyDescent="0.15">
      <c r="A1217" s="202"/>
      <c r="B1217" s="76"/>
    </row>
    <row r="1218" spans="1:7" ht="15" customHeight="1" x14ac:dyDescent="0.15">
      <c r="A1218" s="201" t="s">
        <v>1191</v>
      </c>
      <c r="B1218" s="184"/>
    </row>
    <row r="1219" spans="1:7" ht="15" customHeight="1" x14ac:dyDescent="0.15">
      <c r="A1219" s="202"/>
      <c r="B1219" s="76" t="s">
        <v>631</v>
      </c>
      <c r="C1219" s="18" t="s">
        <v>2367</v>
      </c>
      <c r="D1219" s="242"/>
      <c r="E1219" s="18" t="s">
        <v>2377</v>
      </c>
      <c r="F1219" s="46" t="str">
        <f>IF(wskakunin_koutei_izen03_KOUTEI_KAISUU="","",wskakunin_koutei_izen03_KOUTEI_KAISUU)</f>
        <v/>
      </c>
    </row>
    <row r="1220" spans="1:7" ht="15" customHeight="1" x14ac:dyDescent="0.15">
      <c r="A1220" s="202"/>
      <c r="B1220" s="75" t="s">
        <v>559</v>
      </c>
      <c r="C1220" s="18" t="s">
        <v>2368</v>
      </c>
      <c r="D1220" s="242"/>
      <c r="E1220" s="18" t="s">
        <v>2378</v>
      </c>
      <c r="F1220" s="46" t="str">
        <f>IF(wskakunin_koutei_izen03_KOUTEI_TEXT="","",wskakunin_koutei_izen03_KOUTEI_TEXT)</f>
        <v/>
      </c>
    </row>
    <row r="1221" spans="1:7" ht="15" customHeight="1" x14ac:dyDescent="0.15">
      <c r="A1221" s="202"/>
      <c r="B1221" s="117" t="s">
        <v>647</v>
      </c>
      <c r="C1221" s="18" t="s">
        <v>2369</v>
      </c>
      <c r="D1221" s="242"/>
      <c r="E1221" s="18" t="s">
        <v>2379</v>
      </c>
      <c r="F1221" s="46" t="str">
        <f>IF(wskakunin_koutei_izen03_INTER_ISSUE_NAME="","",wskakunin_koutei_izen03_INTER_ISSUE_NAME)</f>
        <v/>
      </c>
    </row>
    <row r="1222" spans="1:7" ht="15" customHeight="1" x14ac:dyDescent="0.15">
      <c r="A1222" s="202"/>
      <c r="B1222" s="117" t="s">
        <v>648</v>
      </c>
      <c r="C1222" s="18" t="s">
        <v>2370</v>
      </c>
      <c r="D1222" s="242"/>
      <c r="E1222" s="18" t="s">
        <v>2380</v>
      </c>
      <c r="F1222" s="46" t="str">
        <f>IF(wskakunin_koutei_izen03_INTER_ISSUE_NO="","",wskakunin_koutei_izen03_INTER_ISSUE_NO)</f>
        <v/>
      </c>
    </row>
    <row r="1223" spans="1:7" ht="15" customHeight="1" x14ac:dyDescent="0.15">
      <c r="A1223" s="202"/>
      <c r="B1223" s="117" t="s">
        <v>649</v>
      </c>
      <c r="C1223" s="18" t="s">
        <v>2371</v>
      </c>
      <c r="D1223" s="262"/>
      <c r="E1223" s="18" t="s">
        <v>2381</v>
      </c>
      <c r="F1223" s="262" t="str">
        <f>IF(wskakunin_koutei_izen03_INTER_ISSUE_DATE="","",wskakunin_koutei_izen03_INTER_ISSUE_DATE)</f>
        <v/>
      </c>
    </row>
    <row r="1224" spans="1:7" ht="15" customHeight="1" x14ac:dyDescent="0.15">
      <c r="A1224" s="203"/>
      <c r="B1224" s="76"/>
    </row>
    <row r="1225" spans="1:7" ht="15" customHeight="1" x14ac:dyDescent="0.15">
      <c r="A1225" s="201" t="s">
        <v>2366</v>
      </c>
      <c r="B1225" s="184"/>
    </row>
    <row r="1226" spans="1:7" ht="15" customHeight="1" x14ac:dyDescent="0.15">
      <c r="A1226" s="202"/>
      <c r="B1226" s="76" t="s">
        <v>631</v>
      </c>
      <c r="C1226" s="18" t="s">
        <v>2372</v>
      </c>
      <c r="D1226" s="242"/>
      <c r="E1226" s="18" t="s">
        <v>2382</v>
      </c>
      <c r="F1226" s="46" t="str">
        <f>IF(wskakunin_koutei_izen04_KOUTEI_KAISUU="","",wskakunin_koutei_izen04_KOUTEI_KAISUU)</f>
        <v/>
      </c>
    </row>
    <row r="1227" spans="1:7" ht="15" customHeight="1" x14ac:dyDescent="0.15">
      <c r="A1227" s="202"/>
      <c r="B1227" s="75" t="s">
        <v>559</v>
      </c>
      <c r="C1227" s="18" t="s">
        <v>2373</v>
      </c>
      <c r="D1227" s="242"/>
      <c r="E1227" s="18" t="s">
        <v>2383</v>
      </c>
      <c r="F1227" s="46" t="str">
        <f>IF(wskakunin_koutei_izen04_KOUTEI_TEXT="","",wskakunin_koutei_izen04_KOUTEI_TEXT)</f>
        <v/>
      </c>
    </row>
    <row r="1228" spans="1:7" ht="15" customHeight="1" x14ac:dyDescent="0.15">
      <c r="A1228" s="202"/>
      <c r="B1228" s="117" t="s">
        <v>647</v>
      </c>
      <c r="C1228" s="18" t="s">
        <v>2374</v>
      </c>
      <c r="D1228" s="242"/>
      <c r="E1228" s="18" t="s">
        <v>2384</v>
      </c>
      <c r="F1228" s="46" t="str">
        <f>IF(wskakunin_koutei_izen04_INTER_ISSUE_NAME="","",wskakunin_koutei_izen04_INTER_ISSUE_NAME)</f>
        <v/>
      </c>
    </row>
    <row r="1229" spans="1:7" ht="15" customHeight="1" x14ac:dyDescent="0.15">
      <c r="A1229" s="202"/>
      <c r="B1229" s="117" t="s">
        <v>648</v>
      </c>
      <c r="C1229" s="18" t="s">
        <v>2375</v>
      </c>
      <c r="D1229" s="242"/>
      <c r="E1229" s="18" t="s">
        <v>2385</v>
      </c>
      <c r="F1229" s="46" t="str">
        <f>IF(wskakunin_koutei_izen04_INTER_ISSUE_NO="","",wskakunin_koutei_izen04_INTER_ISSUE_NO)</f>
        <v/>
      </c>
    </row>
    <row r="1230" spans="1:7" ht="15" customHeight="1" x14ac:dyDescent="0.15">
      <c r="A1230" s="202"/>
      <c r="B1230" s="117" t="s">
        <v>649</v>
      </c>
      <c r="C1230" s="18" t="s">
        <v>2376</v>
      </c>
      <c r="D1230" s="262"/>
      <c r="E1230" s="18" t="s">
        <v>2386</v>
      </c>
      <c r="F1230" s="262" t="str">
        <f>IF(wskakunin_koutei_izen04_INTER_ISSUE_DATE="","",wskakunin_koutei_izen04_INTER_ISSUE_DATE)</f>
        <v/>
      </c>
    </row>
    <row r="1231" spans="1:7" ht="15" customHeight="1" x14ac:dyDescent="0.15">
      <c r="A1231" s="203"/>
      <c r="B1231" s="76"/>
    </row>
    <row r="1232" spans="1:7" ht="15" customHeight="1" x14ac:dyDescent="0.15">
      <c r="A1232" s="201" t="s">
        <v>2387</v>
      </c>
      <c r="B1232" s="184" t="s">
        <v>2356</v>
      </c>
      <c r="G1232" s="18" t="s">
        <v>2256</v>
      </c>
    </row>
    <row r="1233" spans="1:7" ht="15" customHeight="1" x14ac:dyDescent="0.15">
      <c r="A1233" s="202"/>
      <c r="B1233" s="76" t="s">
        <v>2261</v>
      </c>
      <c r="E1233" s="18" t="s">
        <v>2282</v>
      </c>
      <c r="F1233" s="46" t="str">
        <f ca="1">IF(chk_JOB_KIND_kakunin=1,"",cst_wskakunin_koutei_izen01_KOUTEI_KAISUU)</f>
        <v/>
      </c>
    </row>
    <row r="1234" spans="1:7" ht="15" customHeight="1" x14ac:dyDescent="0.15">
      <c r="A1234" s="202"/>
      <c r="B1234" s="75" t="s">
        <v>2262</v>
      </c>
      <c r="E1234" s="18" t="s">
        <v>2283</v>
      </c>
      <c r="F1234" s="46" t="str">
        <f ca="1">IF(chk_JOB_KIND_kakunin=1,"",cst_wskakunin_koutei_izen01_KOUTEI_TEXT)</f>
        <v/>
      </c>
    </row>
    <row r="1235" spans="1:7" ht="15" customHeight="1" x14ac:dyDescent="0.15">
      <c r="A1235" s="202"/>
      <c r="B1235" s="117" t="s">
        <v>2263</v>
      </c>
      <c r="E1235" s="18" t="s">
        <v>2286</v>
      </c>
      <c r="F1235" s="46" t="str">
        <f ca="1">IF(chk_JOB_KIND_kakunin=1,"",cst_wskakunin_koutei_izen01_INTER_ISSUE_NAME)</f>
        <v/>
      </c>
    </row>
    <row r="1236" spans="1:7" ht="15" customHeight="1" x14ac:dyDescent="0.15">
      <c r="A1236" s="202"/>
      <c r="B1236" s="117" t="s">
        <v>2264</v>
      </c>
      <c r="E1236" s="18" t="s">
        <v>2284</v>
      </c>
      <c r="F1236" s="46" t="str">
        <f ca="1">IF(chk_JOB_KIND_kakunin=1,"",cst_wskakunin_koutei_izen01_INTER_ISSUE_NO)</f>
        <v/>
      </c>
    </row>
    <row r="1237" spans="1:7" ht="15" customHeight="1" x14ac:dyDescent="0.15">
      <c r="A1237" s="202"/>
      <c r="B1237" s="117" t="s">
        <v>2265</v>
      </c>
      <c r="E1237" s="18" t="s">
        <v>2285</v>
      </c>
      <c r="F1237" s="264" t="str">
        <f ca="1">IF(chk_JOB_KIND_kakunin=1,"",cst_wskakunin_koutei_izen01_INTER_ISSUE_DATE)</f>
        <v/>
      </c>
    </row>
    <row r="1238" spans="1:7" ht="15" customHeight="1" x14ac:dyDescent="0.15">
      <c r="A1238" s="202"/>
      <c r="B1238" s="76"/>
    </row>
    <row r="1239" spans="1:7" ht="15" customHeight="1" x14ac:dyDescent="0.15">
      <c r="A1239" s="201" t="s">
        <v>2387</v>
      </c>
      <c r="B1239" s="184" t="s">
        <v>2357</v>
      </c>
      <c r="G1239" s="18" t="s">
        <v>2292</v>
      </c>
    </row>
    <row r="1240" spans="1:7" ht="15" customHeight="1" x14ac:dyDescent="0.15">
      <c r="A1240" s="202"/>
      <c r="B1240" s="76" t="s">
        <v>2261</v>
      </c>
      <c r="E1240" s="18" t="s">
        <v>2287</v>
      </c>
      <c r="F1240" s="46" t="str">
        <f ca="1">IF(chk_INTER1_state_in_conf=1,cst_wskakunin_koutei01_KOUTEI_KAISUU,"")</f>
        <v/>
      </c>
    </row>
    <row r="1241" spans="1:7" ht="15" customHeight="1" x14ac:dyDescent="0.15">
      <c r="A1241" s="202"/>
      <c r="B1241" s="75" t="s">
        <v>2262</v>
      </c>
      <c r="E1241" s="18" t="s">
        <v>2288</v>
      </c>
      <c r="F1241" s="46" t="str">
        <f ca="1">IF(chk_INTER1_state_in_conf=1,cst_wskakunin_koutei01_KOUTEI_TEXT,"")</f>
        <v/>
      </c>
    </row>
    <row r="1242" spans="1:7" ht="15" customHeight="1" x14ac:dyDescent="0.15">
      <c r="A1242" s="202"/>
      <c r="B1242" s="117" t="s">
        <v>2263</v>
      </c>
      <c r="E1242" s="18" t="s">
        <v>2289</v>
      </c>
      <c r="F1242" s="46" t="str">
        <f ca="1">IF(chk_INTER1_state_in_conf=1,cst_wskakunin_KIKAN_NAME,"")</f>
        <v/>
      </c>
    </row>
    <row r="1243" spans="1:7" ht="15" customHeight="1" x14ac:dyDescent="0.15">
      <c r="A1243" s="202"/>
      <c r="B1243" s="117" t="s">
        <v>2264</v>
      </c>
      <c r="E1243" s="18" t="s">
        <v>2290</v>
      </c>
      <c r="F1243" s="46" t="str">
        <f ca="1">IF(chk_INTER1_state_in_conf=1,"第   KAK建合        号","")</f>
        <v/>
      </c>
    </row>
    <row r="1244" spans="1:7" ht="15" customHeight="1" x14ac:dyDescent="0.15">
      <c r="A1244" s="202"/>
      <c r="B1244" s="117" t="s">
        <v>2265</v>
      </c>
      <c r="E1244" s="18" t="s">
        <v>2291</v>
      </c>
      <c r="F1244" s="264" t="str">
        <f ca="1">IF(chk_INTER1_state_in_conf=1,"","")</f>
        <v/>
      </c>
    </row>
    <row r="1245" spans="1:7" ht="15" customHeight="1" x14ac:dyDescent="0.15">
      <c r="A1245" s="203"/>
      <c r="B1245" s="76"/>
    </row>
    <row r="1246" spans="1:7" ht="15" customHeight="1" x14ac:dyDescent="0.15">
      <c r="A1246" s="201" t="s">
        <v>2388</v>
      </c>
      <c r="B1246" s="184" t="s">
        <v>2356</v>
      </c>
      <c r="G1246" s="18" t="s">
        <v>2256</v>
      </c>
    </row>
    <row r="1247" spans="1:7" ht="15" customHeight="1" x14ac:dyDescent="0.15">
      <c r="A1247" s="202"/>
      <c r="B1247" s="76" t="s">
        <v>2261</v>
      </c>
      <c r="E1247" s="18" t="s">
        <v>2389</v>
      </c>
      <c r="F1247" s="46" t="str">
        <f ca="1">IF(chk_JOB_KIND_kakunin=1,"",cst_wskakunin_koutei_izen02_KOUTEI_KAISUU)</f>
        <v/>
      </c>
    </row>
    <row r="1248" spans="1:7" ht="15" customHeight="1" x14ac:dyDescent="0.15">
      <c r="A1248" s="202"/>
      <c r="B1248" s="75" t="s">
        <v>2262</v>
      </c>
      <c r="E1248" s="18" t="s">
        <v>2390</v>
      </c>
      <c r="F1248" s="46" t="str">
        <f ca="1">IF(chk_JOB_KIND_kakunin=1,"",cst_wskakunin_koutei_izen02_KOUTEI_TEXT)</f>
        <v/>
      </c>
    </row>
    <row r="1249" spans="1:7" ht="15" customHeight="1" x14ac:dyDescent="0.15">
      <c r="A1249" s="202"/>
      <c r="B1249" s="117" t="s">
        <v>2263</v>
      </c>
      <c r="E1249" s="18" t="s">
        <v>2391</v>
      </c>
      <c r="F1249" s="46" t="str">
        <f ca="1">IF(chk_JOB_KIND_kakunin=1,"",cst_wskakunin_koutei_izen02_INTER_ISSUE_NAME)</f>
        <v/>
      </c>
    </row>
    <row r="1250" spans="1:7" ht="15" customHeight="1" x14ac:dyDescent="0.15">
      <c r="A1250" s="202"/>
      <c r="B1250" s="117" t="s">
        <v>2264</v>
      </c>
      <c r="E1250" s="18" t="s">
        <v>2392</v>
      </c>
      <c r="F1250" s="46" t="str">
        <f ca="1">IF(chk_JOB_KIND_kakunin=1,"",cst_wskakunin_koutei_izen02_INTER_ISSUE_NO)</f>
        <v/>
      </c>
    </row>
    <row r="1251" spans="1:7" ht="15" customHeight="1" x14ac:dyDescent="0.15">
      <c r="A1251" s="202"/>
      <c r="B1251" s="117" t="s">
        <v>2265</v>
      </c>
      <c r="E1251" s="18" t="s">
        <v>2393</v>
      </c>
      <c r="F1251" s="264" t="str">
        <f ca="1">IF(chk_JOB_KIND_kakunin=1,"",cst_wskakunin_koutei_izen02_INTER_ISSUE_DATE)</f>
        <v/>
      </c>
    </row>
    <row r="1252" spans="1:7" ht="15" customHeight="1" x14ac:dyDescent="0.15">
      <c r="A1252" s="202"/>
      <c r="B1252" s="76"/>
    </row>
    <row r="1253" spans="1:7" ht="15" customHeight="1" x14ac:dyDescent="0.15">
      <c r="A1253" s="201" t="s">
        <v>2388</v>
      </c>
      <c r="B1253" s="184" t="s">
        <v>2357</v>
      </c>
      <c r="G1253" s="18" t="s">
        <v>2256</v>
      </c>
    </row>
    <row r="1254" spans="1:7" ht="15" customHeight="1" x14ac:dyDescent="0.15">
      <c r="A1254" s="202"/>
      <c r="B1254" s="76" t="s">
        <v>2261</v>
      </c>
      <c r="E1254" s="18" t="s">
        <v>2394</v>
      </c>
      <c r="F1254" s="46" t="str">
        <f ca="1">IF(chk_INTER1_state_in_conf=1,"","")</f>
        <v/>
      </c>
    </row>
    <row r="1255" spans="1:7" ht="15" customHeight="1" x14ac:dyDescent="0.15">
      <c r="A1255" s="202"/>
      <c r="B1255" s="75" t="s">
        <v>2262</v>
      </c>
      <c r="E1255" s="18" t="s">
        <v>2395</v>
      </c>
      <c r="F1255" s="46" t="str">
        <f ca="1">IF(chk_INTER1_state_in_conf=1,"","")</f>
        <v/>
      </c>
    </row>
    <row r="1256" spans="1:7" ht="15" customHeight="1" x14ac:dyDescent="0.15">
      <c r="A1256" s="202"/>
      <c r="B1256" s="117" t="s">
        <v>2263</v>
      </c>
      <c r="E1256" s="18" t="s">
        <v>2396</v>
      </c>
      <c r="F1256" s="46" t="str">
        <f ca="1">IF(chk_INTER1_state_in_conf=1,"","")</f>
        <v/>
      </c>
    </row>
    <row r="1257" spans="1:7" ht="15" customHeight="1" x14ac:dyDescent="0.15">
      <c r="A1257" s="202"/>
      <c r="B1257" s="117" t="s">
        <v>2264</v>
      </c>
      <c r="E1257" s="18" t="s">
        <v>2397</v>
      </c>
      <c r="F1257" s="46" t="str">
        <f ca="1">IF(chk_INTER1_state_in_conf=1,"","")</f>
        <v/>
      </c>
    </row>
    <row r="1258" spans="1:7" ht="15" customHeight="1" x14ac:dyDescent="0.15">
      <c r="A1258" s="202"/>
      <c r="B1258" s="117" t="s">
        <v>2265</v>
      </c>
      <c r="E1258" s="18" t="s">
        <v>2398</v>
      </c>
      <c r="F1258" s="264" t="str">
        <f ca="1">IF(chk_INTER1_state_in_conf=1,"","")</f>
        <v/>
      </c>
    </row>
    <row r="1259" spans="1:7" ht="15" customHeight="1" x14ac:dyDescent="0.15">
      <c r="A1259" s="203"/>
      <c r="B1259" s="76"/>
    </row>
    <row r="1260" spans="1:7" ht="15" customHeight="1" x14ac:dyDescent="0.15">
      <c r="A1260" s="190" t="s">
        <v>650</v>
      </c>
      <c r="B1260" s="111"/>
    </row>
    <row r="1261" spans="1:7" ht="15" customHeight="1" x14ac:dyDescent="0.15">
      <c r="A1261" s="201" t="s">
        <v>1180</v>
      </c>
      <c r="B1261" s="184"/>
    </row>
    <row r="1262" spans="1:7" ht="15" customHeight="1" x14ac:dyDescent="0.15">
      <c r="A1262" s="202"/>
      <c r="B1262" s="76" t="s">
        <v>631</v>
      </c>
      <c r="C1262" s="18" t="s">
        <v>1303</v>
      </c>
      <c r="D1262" s="242"/>
      <c r="E1262" s="18" t="s">
        <v>2302</v>
      </c>
      <c r="F1262" s="46" t="str">
        <f>IF(wskakunin_koutei_ikou01_KOUTEI_KAISUU="","",wskakunin_koutei_ikou01_KOUTEI_KAISUU)</f>
        <v/>
      </c>
    </row>
    <row r="1263" spans="1:7" ht="15" customHeight="1" x14ac:dyDescent="0.15">
      <c r="A1263" s="202"/>
      <c r="B1263" s="75" t="s">
        <v>559</v>
      </c>
      <c r="C1263" s="18" t="s">
        <v>1304</v>
      </c>
      <c r="D1263" s="242"/>
      <c r="E1263" s="18" t="s">
        <v>2303</v>
      </c>
      <c r="F1263" s="46" t="str">
        <f>IF(wskakunin_koutei_ikou01_KOUTEI_TEXT="","",wskakunin_koutei_ikou01_KOUTEI_TEXT)</f>
        <v/>
      </c>
    </row>
    <row r="1264" spans="1:7" ht="15" customHeight="1" x14ac:dyDescent="0.15">
      <c r="A1264" s="202"/>
      <c r="B1264" s="75" t="s">
        <v>651</v>
      </c>
      <c r="C1264" s="18" t="s">
        <v>1305</v>
      </c>
      <c r="D1264" s="264"/>
      <c r="E1264" s="18" t="s">
        <v>2304</v>
      </c>
      <c r="F1264" s="264" t="str">
        <f>IF(wskakunin_koutei_ikou01_KOUTEI_DATE="","",wskakunin_koutei_ikou01_KOUTEI_DATE)</f>
        <v/>
      </c>
    </row>
    <row r="1265" spans="1:7" ht="15" customHeight="1" x14ac:dyDescent="0.15">
      <c r="A1265" s="203"/>
      <c r="B1265" s="76"/>
    </row>
    <row r="1266" spans="1:7" ht="15" customHeight="1" x14ac:dyDescent="0.15">
      <c r="A1266" s="201" t="s">
        <v>2365</v>
      </c>
      <c r="B1266" s="184"/>
    </row>
    <row r="1267" spans="1:7" ht="15" customHeight="1" x14ac:dyDescent="0.15">
      <c r="A1267" s="202"/>
      <c r="B1267" s="76" t="s">
        <v>631</v>
      </c>
      <c r="C1267" s="18" t="s">
        <v>1306</v>
      </c>
      <c r="D1267" s="242"/>
      <c r="E1267" s="18" t="s">
        <v>2312</v>
      </c>
      <c r="F1267" s="46" t="str">
        <f>IF(wskakunin_koutei_ikou02_KOUTEI_KAISUU="","",wskakunin_koutei_ikou02_KOUTEI_KAISUU)</f>
        <v/>
      </c>
    </row>
    <row r="1268" spans="1:7" ht="15" customHeight="1" x14ac:dyDescent="0.15">
      <c r="A1268" s="202"/>
      <c r="B1268" s="75" t="s">
        <v>559</v>
      </c>
      <c r="C1268" s="18" t="s">
        <v>1307</v>
      </c>
      <c r="D1268" s="242"/>
      <c r="E1268" s="18" t="s">
        <v>2313</v>
      </c>
      <c r="F1268" s="46" t="str">
        <f>IF(wskakunin_koutei_ikou02_KOUTEI_TEXT="","",wskakunin_koutei_ikou02_KOUTEI_TEXT)</f>
        <v/>
      </c>
    </row>
    <row r="1269" spans="1:7" ht="15" customHeight="1" x14ac:dyDescent="0.15">
      <c r="A1269" s="202"/>
      <c r="B1269" s="75" t="s">
        <v>651</v>
      </c>
      <c r="C1269" s="18" t="s">
        <v>1308</v>
      </c>
      <c r="D1269" s="264"/>
      <c r="E1269" s="18" t="s">
        <v>2314</v>
      </c>
      <c r="F1269" s="264" t="str">
        <f>IF(wskakunin_koutei_ikou02_KOUTEI_DATE="","",wskakunin_koutei_ikou02_KOUTEI_DATE)</f>
        <v/>
      </c>
    </row>
    <row r="1270" spans="1:7" ht="15" customHeight="1" x14ac:dyDescent="0.15">
      <c r="A1270" s="203"/>
      <c r="B1270" s="76"/>
    </row>
    <row r="1271" spans="1:7" ht="15" customHeight="1" x14ac:dyDescent="0.15">
      <c r="A1271" s="201" t="s">
        <v>2399</v>
      </c>
      <c r="B1271" s="184" t="s">
        <v>2356</v>
      </c>
      <c r="G1271" s="18" t="s">
        <v>2257</v>
      </c>
    </row>
    <row r="1272" spans="1:7" ht="15" customHeight="1" x14ac:dyDescent="0.15">
      <c r="A1272" s="202"/>
      <c r="B1272" s="76" t="s">
        <v>2261</v>
      </c>
      <c r="E1272" s="18" t="s">
        <v>2317</v>
      </c>
      <c r="F1272" s="46" t="str">
        <f ca="1">IF(chk_INTER2_state_in_conf=1,cst_wskakunin_koutei02_KOUTEI_KAISUU,cst_wskakunin_koutei_ikou01_KOUTEI_KAISUU)</f>
        <v/>
      </c>
    </row>
    <row r="1273" spans="1:7" ht="15" customHeight="1" x14ac:dyDescent="0.15">
      <c r="A1273" s="202"/>
      <c r="B1273" s="75" t="s">
        <v>2262</v>
      </c>
      <c r="E1273" s="18" t="s">
        <v>2318</v>
      </c>
      <c r="F1273" s="46" t="str">
        <f ca="1">IF(chk_INTER2_state_in_conf=1,cst_wskakunin_koutei02_KOUTEI_TEXT,cst_wskakunin_koutei_ikou01_KOUTEI_TEXT)</f>
        <v/>
      </c>
    </row>
    <row r="1274" spans="1:7" ht="15" customHeight="1" x14ac:dyDescent="0.15">
      <c r="A1274" s="202"/>
      <c r="B1274" s="75" t="s">
        <v>2301</v>
      </c>
      <c r="E1274" s="18" t="s">
        <v>2305</v>
      </c>
      <c r="F1274" s="264" t="str">
        <f ca="1">IF(chk_INTER2_state_in_conf=1,cst_wskakunin_koutei02_KOUTEI_DATE,cst_wskakunin_koutei_ikou01_KOUTEI_DATE)</f>
        <v/>
      </c>
    </row>
    <row r="1275" spans="1:7" ht="15" customHeight="1" x14ac:dyDescent="0.15">
      <c r="A1275" s="203"/>
      <c r="B1275" s="76"/>
    </row>
    <row r="1276" spans="1:7" ht="15" customHeight="1" x14ac:dyDescent="0.15">
      <c r="A1276" s="201" t="s">
        <v>2399</v>
      </c>
      <c r="B1276" s="156" t="s">
        <v>2357</v>
      </c>
      <c r="G1276" s="18" t="s">
        <v>2300</v>
      </c>
    </row>
    <row r="1277" spans="1:7" ht="15" customHeight="1" x14ac:dyDescent="0.15">
      <c r="A1277" s="202"/>
      <c r="B1277" s="76" t="s">
        <v>2261</v>
      </c>
      <c r="E1277" s="18" t="s">
        <v>2319</v>
      </c>
      <c r="F1277" s="46" t="str">
        <f ca="1">IF(chk_INTER3_state_in_conf=1,cst_wskakunin_koutei03_KOUTEI_KAISUU,"")</f>
        <v/>
      </c>
    </row>
    <row r="1278" spans="1:7" ht="15" customHeight="1" x14ac:dyDescent="0.15">
      <c r="A1278" s="202"/>
      <c r="B1278" s="75" t="s">
        <v>2262</v>
      </c>
      <c r="E1278" s="18" t="s">
        <v>2306</v>
      </c>
      <c r="F1278" s="46" t="str">
        <f ca="1">IF(chk_INTER3_state_in_conf=1,cst_wskakunin_koutei03_KOUTEI_TEXT,"")</f>
        <v/>
      </c>
    </row>
    <row r="1279" spans="1:7" ht="15" customHeight="1" x14ac:dyDescent="0.15">
      <c r="A1279" s="202"/>
      <c r="B1279" s="75" t="s">
        <v>2301</v>
      </c>
      <c r="E1279" s="18" t="s">
        <v>2307</v>
      </c>
      <c r="F1279" s="264" t="str">
        <f ca="1">IF(chk_INTER3_state_in_conf=1,cst_wskakunin_koutei03_KOUTEI_DATE,"")</f>
        <v/>
      </c>
    </row>
    <row r="1280" spans="1:7" ht="15" customHeight="1" x14ac:dyDescent="0.15">
      <c r="A1280" s="203"/>
      <c r="B1280" s="76"/>
    </row>
    <row r="1281" spans="1:7" ht="15" customHeight="1" x14ac:dyDescent="0.15">
      <c r="A1281" s="201" t="s">
        <v>2400</v>
      </c>
      <c r="B1281" s="184" t="s">
        <v>2356</v>
      </c>
      <c r="G1281" s="18" t="s">
        <v>2310</v>
      </c>
    </row>
    <row r="1282" spans="1:7" ht="15" customHeight="1" x14ac:dyDescent="0.15">
      <c r="A1282" s="202"/>
      <c r="B1282" s="76" t="s">
        <v>2261</v>
      </c>
      <c r="E1282" s="18" t="s">
        <v>2320</v>
      </c>
      <c r="F1282" s="46" t="str">
        <f ca="1">IF(chk_INTER2_state_in_conf=1,cst_wskakunin_koutei02_KOUTEI_KAISUU,cst_wskakunin_koutei_ikou02_KOUTEI_KAISUU)</f>
        <v/>
      </c>
    </row>
    <row r="1283" spans="1:7" ht="15" customHeight="1" x14ac:dyDescent="0.15">
      <c r="A1283" s="202"/>
      <c r="B1283" s="75" t="s">
        <v>2262</v>
      </c>
      <c r="E1283" s="18" t="s">
        <v>2321</v>
      </c>
      <c r="F1283" s="46" t="str">
        <f ca="1">IF(chk_INTER2_state_in_conf=1,cst_wskakunin_koutei02_KOUTEI_TEXT,cst_wskakunin_koutei_ikou02_KOUTEI_TEXT)</f>
        <v/>
      </c>
    </row>
    <row r="1284" spans="1:7" ht="15" customHeight="1" x14ac:dyDescent="0.15">
      <c r="A1284" s="202"/>
      <c r="B1284" s="75" t="s">
        <v>2301</v>
      </c>
      <c r="E1284" s="18" t="s">
        <v>2308</v>
      </c>
      <c r="F1284" s="264" t="str">
        <f ca="1">IF(chk_INTER2_state_in_conf=1,cst_wskakunin_koutei02_KOUTEI_DATE,cst_wskakunin_koutei_ikou02_KOUTEI_DATE)</f>
        <v/>
      </c>
    </row>
    <row r="1285" spans="1:7" ht="15" customHeight="1" x14ac:dyDescent="0.15">
      <c r="A1285" s="203"/>
      <c r="B1285" s="76"/>
    </row>
    <row r="1286" spans="1:7" ht="15" customHeight="1" x14ac:dyDescent="0.15">
      <c r="A1286" s="201" t="s">
        <v>2400</v>
      </c>
      <c r="B1286" s="156" t="s">
        <v>2357</v>
      </c>
      <c r="G1286" s="18" t="s">
        <v>2311</v>
      </c>
    </row>
    <row r="1287" spans="1:7" ht="15" customHeight="1" x14ac:dyDescent="0.15">
      <c r="A1287" s="202"/>
      <c r="B1287" s="76" t="s">
        <v>2261</v>
      </c>
      <c r="E1287" s="18" t="s">
        <v>2322</v>
      </c>
      <c r="F1287" s="46" t="str">
        <f ca="1">IF(chk_INTER3_state_in_conf=1,cst_wskakunin_koutei03_KOUTEI_KAISUU,"")</f>
        <v/>
      </c>
    </row>
    <row r="1288" spans="1:7" ht="15" customHeight="1" x14ac:dyDescent="0.15">
      <c r="A1288" s="202"/>
      <c r="B1288" s="75" t="s">
        <v>2262</v>
      </c>
      <c r="E1288" s="18" t="s">
        <v>2309</v>
      </c>
      <c r="F1288" s="46" t="str">
        <f ca="1">IF(chk_INTER3_state_in_conf=1,cst_wskakunin_koutei03_KOUTEI_TEXT,"")</f>
        <v/>
      </c>
    </row>
    <row r="1289" spans="1:7" ht="15" customHeight="1" x14ac:dyDescent="0.15">
      <c r="A1289" s="202"/>
      <c r="B1289" s="75" t="s">
        <v>2301</v>
      </c>
      <c r="E1289" s="18" t="s">
        <v>2323</v>
      </c>
      <c r="F1289" s="264" t="str">
        <f ca="1">IF(chk_INTER3_state_in_conf=1,cst_wskakunin_koutei03_KOUTEI_DATE,"")</f>
        <v/>
      </c>
    </row>
    <row r="1290" spans="1:7" ht="15" customHeight="1" x14ac:dyDescent="0.15">
      <c r="A1290" s="204"/>
      <c r="B1290" s="189"/>
    </row>
    <row r="1291" spans="1:7" ht="15" customHeight="1" x14ac:dyDescent="0.15">
      <c r="A1291" s="186" t="s">
        <v>652</v>
      </c>
      <c r="B1291" s="51"/>
      <c r="C1291" t="s">
        <v>2176</v>
      </c>
    </row>
    <row r="1292" spans="1:7" ht="15" customHeight="1" x14ac:dyDescent="0.15">
      <c r="A1292" s="52"/>
      <c r="B1292" s="81" t="s">
        <v>653</v>
      </c>
      <c r="C1292" s="18" t="s">
        <v>2177</v>
      </c>
      <c r="D1292" s="242"/>
      <c r="E1292" s="18" t="s">
        <v>2315</v>
      </c>
      <c r="F1292" s="46" t="str">
        <f>IF(wskakunin_keibi_henkou01_HENKOU_SYURUI="","",wskakunin_keibi_henkou01_HENKOU_SYURUI)</f>
        <v/>
      </c>
    </row>
    <row r="1293" spans="1:7" ht="15" customHeight="1" x14ac:dyDescent="0.15">
      <c r="A1293" s="52"/>
      <c r="B1293" s="81" t="s">
        <v>654</v>
      </c>
      <c r="C1293" s="18" t="s">
        <v>2178</v>
      </c>
      <c r="D1293" s="242"/>
      <c r="E1293" s="18" t="s">
        <v>2316</v>
      </c>
      <c r="F1293" s="46" t="str">
        <f>IF(wskakunin_keibi_henkou01_HENKOU_GAIYOU="","",wskakunin_keibi_henkou01_HENKOU_GAIYOU)</f>
        <v/>
      </c>
    </row>
    <row r="1294" spans="1:7" ht="15" customHeight="1" x14ac:dyDescent="0.15">
      <c r="A1294" s="180"/>
      <c r="B1294" s="189"/>
      <c r="C1294" s="19"/>
    </row>
    <row r="1295" spans="1:7" ht="15" customHeight="1" x14ac:dyDescent="0.15">
      <c r="A1295" s="182" t="s">
        <v>1204</v>
      </c>
      <c r="B1295" s="108" t="s">
        <v>30</v>
      </c>
      <c r="F1295" s="18" t="s">
        <v>2327</v>
      </c>
      <c r="G1295" s="18" t="s">
        <v>2326</v>
      </c>
    </row>
    <row r="1296" spans="1:7" ht="15" customHeight="1" x14ac:dyDescent="0.15">
      <c r="A1296" s="186" t="s">
        <v>2648</v>
      </c>
      <c r="B1296" s="188"/>
      <c r="C1296" s="18" t="s">
        <v>2255</v>
      </c>
      <c r="D1296" s="264"/>
      <c r="E1296" s="18" t="s">
        <v>2271</v>
      </c>
      <c r="F1296" s="264" t="str">
        <f ca="1">IF(chk_JOB_KIND_kakunin=1,"",IF(wskakunin_KOUJI_KANRYOU_DATE="","",wskakunin_KOUJI_KANRYOU_DATE))</f>
        <v/>
      </c>
      <c r="G1296" s="18" t="s">
        <v>2256</v>
      </c>
    </row>
    <row r="1297" spans="1:6" ht="15" customHeight="1" x14ac:dyDescent="0.15">
      <c r="A1297" s="90" t="s">
        <v>2329</v>
      </c>
      <c r="B1297" s="111"/>
    </row>
    <row r="1298" spans="1:6" ht="15" customHeight="1" x14ac:dyDescent="0.15">
      <c r="A1298" s="183" t="s">
        <v>2331</v>
      </c>
      <c r="B1298" s="184" t="s">
        <v>2346</v>
      </c>
    </row>
    <row r="1299" spans="1:6" ht="15" customHeight="1" x14ac:dyDescent="0.15">
      <c r="A1299" s="52"/>
      <c r="B1299" s="76" t="s">
        <v>631</v>
      </c>
      <c r="E1299" s="18" t="s">
        <v>1182</v>
      </c>
      <c r="F1299" s="18" t="str">
        <f>cst_wskakunin_koutei01_KOUTEI_KAISUU</f>
        <v/>
      </c>
    </row>
    <row r="1300" spans="1:6" ht="15" customHeight="1" x14ac:dyDescent="0.15">
      <c r="A1300" s="52"/>
      <c r="B1300" s="76" t="s">
        <v>559</v>
      </c>
      <c r="E1300" s="18" t="s">
        <v>1186</v>
      </c>
      <c r="F1300" s="18" t="str">
        <f>cst_wskakunin_koutei01_KOUTEI_TEXT</f>
        <v/>
      </c>
    </row>
    <row r="1301" spans="1:6" ht="15" customHeight="1" x14ac:dyDescent="0.15">
      <c r="A1301" s="52"/>
      <c r="B1301" s="76" t="s">
        <v>2330</v>
      </c>
      <c r="C1301" s="18" t="s">
        <v>2336</v>
      </c>
      <c r="D1301" s="242"/>
      <c r="E1301" s="18" t="s">
        <v>2348</v>
      </c>
      <c r="F1301" s="46" t="str">
        <f>IF(wskakunin_koutei01_INTER_ISSUE_NAME="","",wskakunin_koutei01_INTER_ISSUE_NAME)</f>
        <v/>
      </c>
    </row>
    <row r="1302" spans="1:6" ht="15" customHeight="1" x14ac:dyDescent="0.15">
      <c r="A1302" s="52"/>
      <c r="B1302" s="76" t="s">
        <v>648</v>
      </c>
      <c r="C1302" s="18" t="s">
        <v>2337</v>
      </c>
      <c r="D1302" s="242"/>
      <c r="E1302" s="18" t="s">
        <v>2349</v>
      </c>
      <c r="F1302" s="46" t="str">
        <f>IF(wskakunin_koutei01_INTER_ISSUE_NO="","",wskakunin_koutei01_INTER_ISSUE_NO)</f>
        <v/>
      </c>
    </row>
    <row r="1303" spans="1:6" ht="15" customHeight="1" x14ac:dyDescent="0.15">
      <c r="A1303" s="52"/>
      <c r="B1303" s="76" t="s">
        <v>649</v>
      </c>
      <c r="C1303" s="18" t="s">
        <v>2338</v>
      </c>
      <c r="D1303" s="264"/>
      <c r="E1303" s="18" t="s">
        <v>2350</v>
      </c>
      <c r="F1303" s="264" t="str">
        <f>IF(wskakunin_koutei01_INTER_ISSUE_DATE="","",wskakunin_koutei01_INTER_ISSUE_DATE)</f>
        <v/>
      </c>
    </row>
    <row r="1304" spans="1:6" ht="15" customHeight="1" x14ac:dyDescent="0.15">
      <c r="A1304" s="52"/>
      <c r="B1304" s="76"/>
      <c r="D1304" s="199"/>
      <c r="F1304" s="199"/>
    </row>
    <row r="1305" spans="1:6" ht="15" customHeight="1" x14ac:dyDescent="0.15">
      <c r="A1305" s="183"/>
      <c r="B1305" s="200" t="s">
        <v>2347</v>
      </c>
      <c r="D1305" s="199"/>
      <c r="F1305" s="199"/>
    </row>
    <row r="1306" spans="1:6" ht="15" customHeight="1" x14ac:dyDescent="0.15">
      <c r="A1306" s="52"/>
      <c r="B1306" s="76" t="s">
        <v>631</v>
      </c>
      <c r="D1306" s="199"/>
      <c r="E1306" s="18" t="s">
        <v>2352</v>
      </c>
      <c r="F1306" s="262" t="str">
        <f ca="1">IF(OR(chk_INTER_state_in_final=10,chk_INTER_state_in_final=40),cst_wskakunin_koutei01_KOUTEI_KAISUU,IF(chk_INTER_state_in_final=30,cst_wskakunin_keika01_TOUTEI_KAISUU_inter0,IF(chk_INTER_state_in_final=31,cst_wskakunin_koutei_izen01_KOUTEI_KAISUU,IF(chk_INTER_state_in_final=32,cst_wskakunin_koutei_izen01_KOUTEI_KAISUU,""))))</f>
        <v/>
      </c>
    </row>
    <row r="1307" spans="1:6" ht="15" customHeight="1" x14ac:dyDescent="0.15">
      <c r="A1307" s="52"/>
      <c r="B1307" s="76" t="s">
        <v>559</v>
      </c>
      <c r="D1307" s="199"/>
      <c r="E1307" s="18" t="s">
        <v>2353</v>
      </c>
      <c r="F1307" s="262" t="str">
        <f ca="1">IF(OR(chk_INTER_state_in_final=10,chk_INTER_state_in_final=40),cst_wskakunin_koutei01_KOUTEI_TEXT,IF(chk_INTER_state_in_final=30,cst_wskakunin_TOKUTEI_KOUTEI,IF(chk_INTER_state_in_final=31,cst_wskakunin_koutei_izen01_KOUTEI_TEXT,IF(chk_INTER_state_in_final=32,cst_wskakunin_koutei_izen01_KOUTEI_TEXT,""))))</f>
        <v/>
      </c>
    </row>
    <row r="1308" spans="1:6" ht="15" customHeight="1" x14ac:dyDescent="0.15">
      <c r="A1308" s="52"/>
      <c r="B1308" s="76" t="s">
        <v>2330</v>
      </c>
      <c r="D1308" s="199"/>
      <c r="E1308" s="18" t="s">
        <v>2354</v>
      </c>
      <c r="F1308" s="262" t="str">
        <f ca="1">IF(OR(chk_INTER_state_in_final=10,chk_INTER_state_in_final=40),cst_wskakunin_koutei01_INTER_ISSUE_NAME,IF(chk_INTER_state_in_final=30,cst_wskakunin_keika01_INTER_ISSUE_NAME_inter0,IF(chk_INTER_state_in_final=31,cst_wskakunin_koutei_izen01_INTER_ISSUE_NAME,IF(chk_INTER_state_in_final=32,cst_wskakunin_koutei_izen01_INTER_ISSUE_NAME,""))))</f>
        <v/>
      </c>
    </row>
    <row r="1309" spans="1:6" ht="15" customHeight="1" x14ac:dyDescent="0.15">
      <c r="A1309" s="52"/>
      <c r="B1309" s="76" t="s">
        <v>648</v>
      </c>
      <c r="D1309" s="199"/>
      <c r="E1309" s="18" t="s">
        <v>2355</v>
      </c>
      <c r="F1309" s="262" t="str">
        <f ca="1">IF(OR(chk_INTER_state_in_final=10,chk_INTER_state_in_final=40),cst_wskakunin_koutei01_INTER_ISSUE_NO,IF(chk_INTER_state_in_final=30,cst_wskakunin_keika01_INTER_ISSUE_NO_inter0,IF(chk_INTER_state_in_final=31,cst_wskakunin_koutei_izen01_INTER_ISSUE_NO,IF(chk_INTER_state_in_final=32,cst_wskakunin_koutei_izen01_INTER_ISSUE_NO,""))))</f>
        <v/>
      </c>
    </row>
    <row r="1310" spans="1:6" ht="15" customHeight="1" x14ac:dyDescent="0.15">
      <c r="A1310" s="52"/>
      <c r="B1310" s="76" t="s">
        <v>649</v>
      </c>
      <c r="D1310" s="199"/>
      <c r="E1310" s="18" t="s">
        <v>2351</v>
      </c>
      <c r="F1310" s="264" t="str">
        <f ca="1">IF(OR(chk_INTER_state_in_final=10,chk_INTER_state_in_final=40),cst_wskakunin_koutei01_INTER_ISSUE_DATE,IF(chk_INTER_state_in_final=30,"",IF(chk_INTER_state_in_final=31,cst_wskakunin_koutei_izen01_INTER_ISSUE_DATE,IF(chk_INTER_state_in_final=32,cst_wskakunin_koutei_izen01_INTER_ISSUE_DATE,""))))</f>
        <v/>
      </c>
    </row>
    <row r="1311" spans="1:6" ht="15" customHeight="1" x14ac:dyDescent="0.15">
      <c r="A1311" s="185"/>
      <c r="B1311" s="76"/>
    </row>
    <row r="1312" spans="1:6" ht="15" customHeight="1" x14ac:dyDescent="0.15">
      <c r="A1312" s="52" t="s">
        <v>2332</v>
      </c>
      <c r="B1312" s="184" t="s">
        <v>2346</v>
      </c>
    </row>
    <row r="1313" spans="1:6" ht="15" customHeight="1" x14ac:dyDescent="0.15">
      <c r="A1313" s="52"/>
      <c r="B1313" s="76" t="s">
        <v>631</v>
      </c>
      <c r="E1313" s="18" t="s">
        <v>548</v>
      </c>
      <c r="F1313" s="18" t="str">
        <f>cst_wskakunin_koutei02_KOUTEI_KAISUU</f>
        <v/>
      </c>
    </row>
    <row r="1314" spans="1:6" ht="15" customHeight="1" x14ac:dyDescent="0.15">
      <c r="A1314" s="52"/>
      <c r="B1314" s="76" t="s">
        <v>559</v>
      </c>
      <c r="E1314" s="18" t="s">
        <v>550</v>
      </c>
      <c r="F1314" s="18" t="str">
        <f>cst_wskakunin_koutei02_KOUTEI_TEXT</f>
        <v/>
      </c>
    </row>
    <row r="1315" spans="1:6" ht="15" customHeight="1" x14ac:dyDescent="0.15">
      <c r="A1315" s="52"/>
      <c r="B1315" s="76" t="s">
        <v>2330</v>
      </c>
      <c r="C1315" s="18" t="s">
        <v>2333</v>
      </c>
      <c r="D1315" s="242"/>
      <c r="E1315" s="18" t="s">
        <v>2358</v>
      </c>
      <c r="F1315" s="46" t="str">
        <f>IF(wskakunin_koutei02_INTER_ISSUE_NAME="","",wskakunin_koutei02_INTER_ISSUE_NAME)</f>
        <v/>
      </c>
    </row>
    <row r="1316" spans="1:6" ht="15" customHeight="1" x14ac:dyDescent="0.15">
      <c r="A1316" s="52"/>
      <c r="B1316" s="76" t="s">
        <v>648</v>
      </c>
      <c r="C1316" s="18" t="s">
        <v>2334</v>
      </c>
      <c r="D1316" s="242"/>
      <c r="E1316" s="18" t="s">
        <v>2359</v>
      </c>
      <c r="F1316" s="46" t="str">
        <f>IF(wskakunin_koutei02_INTER_ISSUE_NO="","",wskakunin_koutei02_INTER_ISSUE_NO)</f>
        <v/>
      </c>
    </row>
    <row r="1317" spans="1:6" ht="15" customHeight="1" x14ac:dyDescent="0.15">
      <c r="A1317" s="52"/>
      <c r="B1317" s="76" t="s">
        <v>649</v>
      </c>
      <c r="C1317" s="18" t="s">
        <v>2335</v>
      </c>
      <c r="D1317" s="264"/>
      <c r="E1317" s="18" t="s">
        <v>2339</v>
      </c>
      <c r="F1317" s="264" t="str">
        <f>IF(wskakunin_koutei02_INTER_ISSUE_DATE="","",wskakunin_koutei02_INTER_ISSUE_DATE)</f>
        <v/>
      </c>
    </row>
    <row r="1318" spans="1:6" ht="15" customHeight="1" x14ac:dyDescent="0.15">
      <c r="A1318" s="52"/>
      <c r="B1318" s="76"/>
      <c r="D1318" s="199"/>
      <c r="F1318" s="199"/>
    </row>
    <row r="1319" spans="1:6" ht="15" customHeight="1" x14ac:dyDescent="0.15">
      <c r="A1319" s="52"/>
      <c r="B1319" s="76"/>
      <c r="D1319" s="199"/>
      <c r="F1319" s="199"/>
    </row>
    <row r="1320" spans="1:6" ht="15" customHeight="1" x14ac:dyDescent="0.15">
      <c r="A1320" s="183"/>
      <c r="B1320" s="200" t="s">
        <v>2347</v>
      </c>
      <c r="D1320" s="199"/>
      <c r="F1320" s="199"/>
    </row>
    <row r="1321" spans="1:6" ht="15" customHeight="1" x14ac:dyDescent="0.15">
      <c r="A1321" s="52"/>
      <c r="B1321" s="76" t="s">
        <v>631</v>
      </c>
      <c r="D1321" s="199"/>
      <c r="E1321" s="18" t="s">
        <v>2360</v>
      </c>
      <c r="F1321" s="262" t="str">
        <f ca="1">IF(OR(chk_INTER_state_in_final=10,chk_INTER_state_in_final=40),cst_wskakunin_koutei02_KOUTEI_KAISUU,IF(chk_INTER_state_in_final=30,cst_wskakunin_keika02_TOUTEI_KAISUU_inter0,IF(chk_INTER_state_in_final=31,cst_wskakunin_koutei_izen01_KOUTEI_KAISUU,IF(chk_INTER_state_in_final=32,cst_wskakunin_koutei_izen02_KOUTEI_KAISUU,""))))</f>
        <v/>
      </c>
    </row>
    <row r="1322" spans="1:6" ht="15" customHeight="1" x14ac:dyDescent="0.15">
      <c r="A1322" s="52"/>
      <c r="B1322" s="76" t="s">
        <v>559</v>
      </c>
      <c r="D1322" s="199"/>
      <c r="E1322" s="18" t="s">
        <v>2361</v>
      </c>
      <c r="F1322" s="262" t="str">
        <f ca="1">IF(OR(chk_INTER_state_in_final=10,chk_INTER_state_in_final=40),cst_wskakunin_koutei02_KOUTEI_TEXT,IF(chk_INTER_state_in_final=30,cst_wskakunin_koutei_ikou01_KOUTEI_TEXT,IF(chk_INTER_state_in_final=31,cst_wskakunin_koutei_izen01_KOUTEI_TEXT,IF(chk_INTER_state_in_final=32,cst_wskakunin_koutei_izen02_KOUTEI_TEXT,""))))</f>
        <v/>
      </c>
    </row>
    <row r="1323" spans="1:6" ht="15" customHeight="1" x14ac:dyDescent="0.15">
      <c r="A1323" s="52"/>
      <c r="B1323" s="76" t="s">
        <v>2330</v>
      </c>
      <c r="D1323" s="199"/>
      <c r="E1323" s="18" t="s">
        <v>2362</v>
      </c>
      <c r="F1323" s="262" t="str">
        <f ca="1">IF(OR(chk_INTER_state_in_final=10,chk_INTER_state_in_final=40),cst_wskakunin_koutei02_INTER_ISSUE_NAME,IF(chk_INTER_state_in_final=30,cst_wskakunin_keika02_INTER_ISSUE_NAME_inter0,IF(chk_INTER_state_in_final=31,cst_wskakunin_koutei_izen01_INTER_ISSUE_NAME,IF(chk_INTER_state_in_final=32,cst_wskakunin_koutei_izen02_INTER_ISSUE_NAME,""))))</f>
        <v/>
      </c>
    </row>
    <row r="1324" spans="1:6" ht="15" customHeight="1" x14ac:dyDescent="0.15">
      <c r="A1324" s="52"/>
      <c r="B1324" s="76" t="s">
        <v>648</v>
      </c>
      <c r="D1324" s="199"/>
      <c r="E1324" s="18" t="s">
        <v>2363</v>
      </c>
      <c r="F1324" s="262" t="str">
        <f ca="1">IF(OR(chk_INTER_state_in_final=10,chk_INTER_state_in_final=40),cst_wskakunin_koutei02_INTER_ISSUE_NO,IF(chk_INTER_state_in_final=30,cst_wskakunin_keika02_INTER_ISSUE_NO_inter0,IF(chk_INTER_state_in_final=31,cst_wskakunin_koutei_izen01_INTER_ISSUE_NO,IF(chk_INTER_state_in_final=32,cst_wskakunin_koutei_izen02_INTER_ISSUE_NO,""))))</f>
        <v/>
      </c>
    </row>
    <row r="1325" spans="1:6" ht="15" customHeight="1" x14ac:dyDescent="0.15">
      <c r="A1325" s="52"/>
      <c r="B1325" s="76" t="s">
        <v>649</v>
      </c>
      <c r="D1325" s="199"/>
      <c r="E1325" s="18" t="s">
        <v>2364</v>
      </c>
      <c r="F1325" s="264" t="str">
        <f ca="1">IF(OR(chk_INTER_state_in_final=10,chk_INTER_state_in_final=40),cst_wskakunin_koutei02_INTER_ISSUE_DATE,IF(chk_INTER_state_in_final=30,"",IF(chk_INTER_state_in_final=31,cst_wskakunin_koutei_izen01_INTER_ISSUE_DATE,IF(chk_INTER_state_in_final=32,cst_wskakunin_koutei_izen02_INTER_ISSUE_DATE,""))))</f>
        <v/>
      </c>
    </row>
    <row r="1326" spans="1:6" ht="15" customHeight="1" x14ac:dyDescent="0.15">
      <c r="A1326" s="180"/>
      <c r="B1326" s="198"/>
    </row>
    <row r="1327" spans="1:6" ht="15" customHeight="1" x14ac:dyDescent="0.15">
      <c r="A1327" s="197"/>
      <c r="B1327" s="196"/>
    </row>
    <row r="1328" spans="1:6" ht="15" customHeight="1" x14ac:dyDescent="0.15">
      <c r="A1328" s="46" t="s">
        <v>2654</v>
      </c>
      <c r="B1328" s="46"/>
      <c r="C1328" s="18" t="s">
        <v>2655</v>
      </c>
      <c r="D1328" s="46"/>
      <c r="E1328" s="18" t="s">
        <v>2656</v>
      </c>
      <c r="F1328" s="46" t="str">
        <f>IF(shinsei_build_YOUTO="","",shinsei_build_YOUTO)</f>
        <v/>
      </c>
    </row>
  </sheetData>
  <mergeCells count="1">
    <mergeCell ref="A1063:B1063"/>
  </mergeCells>
  <phoneticPr fontId="4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FFCC"/>
  </sheetPr>
  <dimension ref="A3:J29"/>
  <sheetViews>
    <sheetView workbookViewId="0">
      <selection activeCell="J27" sqref="J27"/>
    </sheetView>
  </sheetViews>
  <sheetFormatPr defaultColWidth="9" defaultRowHeight="15" customHeight="1" x14ac:dyDescent="0.15"/>
  <cols>
    <col min="1" max="5" width="2.625" style="18" customWidth="1"/>
    <col min="6" max="7" width="10.625" style="18" customWidth="1"/>
    <col min="8" max="8" width="18.375" style="18" customWidth="1"/>
    <col min="9" max="12" width="20.625" style="18" customWidth="1"/>
    <col min="13" max="13" width="9" style="18" customWidth="1"/>
    <col min="14" max="16384" width="9" style="18"/>
  </cols>
  <sheetData>
    <row r="3" spans="1:9" ht="15" customHeight="1" x14ac:dyDescent="0.15">
      <c r="A3" s="18" t="s">
        <v>1207</v>
      </c>
    </row>
    <row r="4" spans="1:9" ht="15" customHeight="1" x14ac:dyDescent="0.15">
      <c r="H4" s="129" t="s">
        <v>1229</v>
      </c>
      <c r="I4" s="125" t="s">
        <v>1230</v>
      </c>
    </row>
    <row r="5" spans="1:9" ht="15" customHeight="1" x14ac:dyDescent="0.15">
      <c r="H5" s="122">
        <v>0</v>
      </c>
      <c r="I5" s="126" t="s">
        <v>1231</v>
      </c>
    </row>
    <row r="6" spans="1:9" ht="15" customHeight="1" x14ac:dyDescent="0.15">
      <c r="H6" s="123">
        <v>100</v>
      </c>
      <c r="I6" s="127" t="s">
        <v>1232</v>
      </c>
    </row>
    <row r="7" spans="1:9" ht="15" customHeight="1" x14ac:dyDescent="0.15">
      <c r="H7" s="123">
        <v>200</v>
      </c>
      <c r="I7" s="127" t="s">
        <v>1233</v>
      </c>
    </row>
    <row r="8" spans="1:9" ht="15" customHeight="1" x14ac:dyDescent="0.15">
      <c r="H8" s="123">
        <v>300</v>
      </c>
      <c r="I8" s="127" t="s">
        <v>1234</v>
      </c>
    </row>
    <row r="9" spans="1:9" ht="15" customHeight="1" x14ac:dyDescent="0.15">
      <c r="H9" s="124" t="s">
        <v>1210</v>
      </c>
      <c r="I9" s="128"/>
    </row>
    <row r="12" spans="1:9" ht="15" customHeight="1" x14ac:dyDescent="0.15">
      <c r="A12" s="18" t="s">
        <v>1207</v>
      </c>
    </row>
    <row r="13" spans="1:9" ht="15" customHeight="1" x14ac:dyDescent="0.15">
      <c r="H13" s="129" t="s">
        <v>1216</v>
      </c>
      <c r="I13" s="125" t="s">
        <v>1217</v>
      </c>
    </row>
    <row r="14" spans="1:9" ht="15" customHeight="1" x14ac:dyDescent="0.15">
      <c r="H14" s="122">
        <v>1</v>
      </c>
      <c r="I14" s="126" t="s">
        <v>1211</v>
      </c>
    </row>
    <row r="15" spans="1:9" ht="15" customHeight="1" x14ac:dyDescent="0.15">
      <c r="H15" s="123">
        <v>2</v>
      </c>
      <c r="I15" s="127" t="s">
        <v>1212</v>
      </c>
    </row>
    <row r="16" spans="1:9" ht="15" customHeight="1" x14ac:dyDescent="0.15">
      <c r="H16" s="123">
        <v>3</v>
      </c>
      <c r="I16" s="127" t="s">
        <v>1213</v>
      </c>
    </row>
    <row r="17" spans="1:10" ht="15" customHeight="1" x14ac:dyDescent="0.15">
      <c r="H17" s="123">
        <v>4</v>
      </c>
      <c r="I17" s="127" t="s">
        <v>1214</v>
      </c>
    </row>
    <row r="18" spans="1:10" ht="15" customHeight="1" x14ac:dyDescent="0.15">
      <c r="H18" s="123">
        <v>5</v>
      </c>
      <c r="I18" s="127" t="s">
        <v>1215</v>
      </c>
    </row>
    <row r="19" spans="1:10" ht="15" customHeight="1" x14ac:dyDescent="0.15">
      <c r="H19" s="124" t="s">
        <v>1210</v>
      </c>
      <c r="I19" s="128"/>
    </row>
    <row r="21" spans="1:10" ht="15" customHeight="1" x14ac:dyDescent="0.15">
      <c r="H21" s="59"/>
    </row>
    <row r="22" spans="1:10" ht="15" customHeight="1" x14ac:dyDescent="0.15">
      <c r="A22" s="18" t="s">
        <v>1205</v>
      </c>
    </row>
    <row r="23" spans="1:10" ht="15" customHeight="1" x14ac:dyDescent="0.15">
      <c r="H23" s="129" t="s">
        <v>1224</v>
      </c>
      <c r="I23" s="125" t="s">
        <v>1225</v>
      </c>
      <c r="J23" s="195" t="s">
        <v>1232</v>
      </c>
    </row>
    <row r="24" spans="1:10" ht="15" customHeight="1" x14ac:dyDescent="0.15">
      <c r="H24" s="122">
        <v>101</v>
      </c>
      <c r="I24" s="131" t="s">
        <v>1223</v>
      </c>
      <c r="J24" s="192">
        <v>1</v>
      </c>
    </row>
    <row r="25" spans="1:10" ht="15" customHeight="1" x14ac:dyDescent="0.15">
      <c r="H25" s="123">
        <v>102</v>
      </c>
      <c r="I25" s="132" t="s">
        <v>1219</v>
      </c>
      <c r="J25" s="193">
        <v>1</v>
      </c>
    </row>
    <row r="26" spans="1:10" ht="15" customHeight="1" x14ac:dyDescent="0.15">
      <c r="H26" s="123">
        <v>103</v>
      </c>
      <c r="I26" s="132" t="s">
        <v>1220</v>
      </c>
      <c r="J26" s="193">
        <v>3</v>
      </c>
    </row>
    <row r="27" spans="1:10" ht="15" customHeight="1" x14ac:dyDescent="0.15">
      <c r="H27" s="123">
        <v>104</v>
      </c>
      <c r="I27" s="132" t="s">
        <v>1221</v>
      </c>
      <c r="J27" s="193">
        <v>4</v>
      </c>
    </row>
    <row r="28" spans="1:10" ht="15" customHeight="1" x14ac:dyDescent="0.15">
      <c r="H28" s="123">
        <v>999</v>
      </c>
      <c r="I28" s="132" t="s">
        <v>1222</v>
      </c>
      <c r="J28" s="193"/>
    </row>
    <row r="29" spans="1:10" ht="15" customHeight="1" x14ac:dyDescent="0.15">
      <c r="H29" s="130" t="s">
        <v>1210</v>
      </c>
      <c r="I29" s="133"/>
      <c r="J29" s="194"/>
    </row>
  </sheetData>
  <phoneticPr fontId="4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CFFCC"/>
  </sheetPr>
  <dimension ref="A1:AP68"/>
  <sheetViews>
    <sheetView topLeftCell="AA1" workbookViewId="0">
      <pane ySplit="2" topLeftCell="A3" activePane="bottomLeft" state="frozen"/>
      <selection pane="bottomLeft" activeCell="K13" sqref="K13"/>
    </sheetView>
  </sheetViews>
  <sheetFormatPr defaultColWidth="9" defaultRowHeight="13.5" x14ac:dyDescent="0.15"/>
  <cols>
    <col min="1" max="1" width="7.125" bestFit="1" customWidth="1"/>
    <col min="2" max="2" width="6.125" customWidth="1"/>
    <col min="3" max="3" width="5.25" customWidth="1"/>
    <col min="4" max="4" width="4.875" customWidth="1"/>
    <col min="5" max="30" width="5.875" customWidth="1"/>
    <col min="31" max="31" width="12" customWidth="1"/>
    <col min="32" max="32" width="10" customWidth="1"/>
    <col min="33" max="33" width="9" style="7" customWidth="1"/>
    <col min="34" max="34" width="23.875" customWidth="1"/>
    <col min="35" max="35" width="7.375" style="7" customWidth="1"/>
    <col min="36" max="36" width="9" customWidth="1"/>
    <col min="37" max="37" width="9" style="7" customWidth="1"/>
    <col min="38" max="40" width="9" customWidth="1"/>
    <col min="41" max="41" width="8" customWidth="1"/>
    <col min="42" max="42" width="6.75" customWidth="1"/>
    <col min="43" max="43" width="9" customWidth="1"/>
  </cols>
  <sheetData>
    <row r="1" spans="1:42" x14ac:dyDescent="0.15">
      <c r="A1" t="s">
        <v>115</v>
      </c>
      <c r="E1" t="s">
        <v>116</v>
      </c>
      <c r="R1" t="s">
        <v>117</v>
      </c>
      <c r="AO1" t="s">
        <v>118</v>
      </c>
    </row>
    <row r="2" spans="1:42" x14ac:dyDescent="0.15">
      <c r="A2" s="8" t="s">
        <v>119</v>
      </c>
      <c r="B2" s="8" t="s">
        <v>120</v>
      </c>
      <c r="C2" s="8" t="s">
        <v>20</v>
      </c>
      <c r="D2" s="8" t="s">
        <v>48</v>
      </c>
      <c r="E2" s="9" t="s">
        <v>121</v>
      </c>
      <c r="F2" s="9" t="s">
        <v>122</v>
      </c>
      <c r="G2" s="9" t="s">
        <v>123</v>
      </c>
      <c r="H2" s="9" t="s">
        <v>124</v>
      </c>
      <c r="I2" s="9" t="s">
        <v>125</v>
      </c>
      <c r="J2" s="9" t="s">
        <v>126</v>
      </c>
      <c r="K2" s="9" t="s">
        <v>127</v>
      </c>
      <c r="L2" s="9" t="s">
        <v>128</v>
      </c>
      <c r="M2" s="9" t="s">
        <v>129</v>
      </c>
      <c r="N2" s="9" t="s">
        <v>130</v>
      </c>
      <c r="O2" s="9" t="s">
        <v>131</v>
      </c>
      <c r="P2" s="9" t="s">
        <v>132</v>
      </c>
      <c r="Q2" s="9" t="s">
        <v>133</v>
      </c>
      <c r="R2" s="10" t="s">
        <v>121</v>
      </c>
      <c r="S2" s="10" t="s">
        <v>122</v>
      </c>
      <c r="T2" s="10" t="s">
        <v>123</v>
      </c>
      <c r="U2" s="10" t="s">
        <v>124</v>
      </c>
      <c r="V2" s="10" t="s">
        <v>125</v>
      </c>
      <c r="W2" s="10" t="s">
        <v>126</v>
      </c>
      <c r="X2" s="10" t="s">
        <v>127</v>
      </c>
      <c r="Y2" s="10" t="s">
        <v>128</v>
      </c>
      <c r="Z2" s="10" t="s">
        <v>129</v>
      </c>
      <c r="AA2" s="10" t="s">
        <v>130</v>
      </c>
      <c r="AB2" s="10" t="s">
        <v>131</v>
      </c>
      <c r="AC2" s="10" t="s">
        <v>132</v>
      </c>
      <c r="AD2" s="10" t="s">
        <v>133</v>
      </c>
      <c r="AE2" s="8" t="s">
        <v>134</v>
      </c>
      <c r="AF2" s="8" t="s">
        <v>135</v>
      </c>
      <c r="AG2" s="8" t="s">
        <v>136</v>
      </c>
      <c r="AH2" s="8" t="s">
        <v>137</v>
      </c>
      <c r="AI2" s="8" t="s">
        <v>138</v>
      </c>
      <c r="AJ2" s="8" t="s">
        <v>139</v>
      </c>
      <c r="AK2" s="8" t="s">
        <v>140</v>
      </c>
      <c r="AL2" s="8" t="s">
        <v>141</v>
      </c>
      <c r="AM2" s="8" t="s">
        <v>142</v>
      </c>
      <c r="AN2" s="8" t="s">
        <v>143</v>
      </c>
      <c r="AO2" s="9" t="s">
        <v>40</v>
      </c>
      <c r="AP2" s="9" t="s">
        <v>40</v>
      </c>
    </row>
    <row r="3" spans="1:42" x14ac:dyDescent="0.15">
      <c r="A3" t="s">
        <v>144</v>
      </c>
      <c r="B3" t="s">
        <v>145</v>
      </c>
      <c r="C3" t="s">
        <v>145</v>
      </c>
      <c r="D3" t="s">
        <v>146</v>
      </c>
      <c r="E3">
        <v>0.5</v>
      </c>
      <c r="F3">
        <v>0.5</v>
      </c>
      <c r="G3">
        <v>1</v>
      </c>
      <c r="H3">
        <v>1</v>
      </c>
      <c r="I3">
        <v>1</v>
      </c>
      <c r="J3">
        <v>1</v>
      </c>
      <c r="K3">
        <v>1</v>
      </c>
      <c r="L3">
        <v>1</v>
      </c>
      <c r="M3">
        <v>2</v>
      </c>
      <c r="N3">
        <v>1</v>
      </c>
      <c r="O3">
        <v>1</v>
      </c>
      <c r="P3">
        <v>1</v>
      </c>
      <c r="Q3">
        <v>0.5</v>
      </c>
      <c r="R3">
        <v>0.3</v>
      </c>
      <c r="S3">
        <v>0.3</v>
      </c>
      <c r="T3">
        <v>0.3</v>
      </c>
      <c r="U3">
        <v>0.3</v>
      </c>
      <c r="V3">
        <v>0.5</v>
      </c>
      <c r="W3">
        <v>0.5</v>
      </c>
      <c r="X3">
        <v>0.5</v>
      </c>
      <c r="Y3">
        <v>0.6</v>
      </c>
      <c r="Z3">
        <v>0.8</v>
      </c>
      <c r="AA3">
        <v>0.5</v>
      </c>
      <c r="AB3">
        <v>0.5</v>
      </c>
      <c r="AC3">
        <v>0.3</v>
      </c>
      <c r="AD3">
        <v>0.3</v>
      </c>
      <c r="AE3" t="s">
        <v>121</v>
      </c>
      <c r="AF3" t="s">
        <v>20</v>
      </c>
      <c r="AG3" s="7" t="s">
        <v>147</v>
      </c>
      <c r="AH3" t="s">
        <v>57</v>
      </c>
      <c r="AI3" s="7" t="s">
        <v>148</v>
      </c>
      <c r="AJ3" t="s">
        <v>149</v>
      </c>
      <c r="AK3" s="7" t="s">
        <v>150</v>
      </c>
      <c r="AL3" t="s">
        <v>151</v>
      </c>
      <c r="AM3" s="7" t="s">
        <v>142</v>
      </c>
      <c r="AN3" t="s">
        <v>152</v>
      </c>
      <c r="AO3" s="7" t="s">
        <v>153</v>
      </c>
      <c r="AP3">
        <v>11</v>
      </c>
    </row>
    <row r="4" spans="1:42" x14ac:dyDescent="0.15">
      <c r="B4" t="s">
        <v>154</v>
      </c>
      <c r="C4" t="s">
        <v>154</v>
      </c>
      <c r="D4" t="s">
        <v>144</v>
      </c>
      <c r="E4">
        <v>0.6</v>
      </c>
      <c r="F4">
        <v>0.6</v>
      </c>
      <c r="G4">
        <v>1.5</v>
      </c>
      <c r="H4">
        <v>1.5</v>
      </c>
      <c r="I4">
        <v>1.5</v>
      </c>
      <c r="J4">
        <v>1.5</v>
      </c>
      <c r="K4">
        <v>1.5</v>
      </c>
      <c r="L4">
        <v>1.5</v>
      </c>
      <c r="M4">
        <v>3</v>
      </c>
      <c r="N4">
        <v>1.5</v>
      </c>
      <c r="O4">
        <v>1.5</v>
      </c>
      <c r="P4">
        <v>1.5</v>
      </c>
      <c r="Q4">
        <v>0.8</v>
      </c>
      <c r="R4">
        <v>0.4</v>
      </c>
      <c r="S4">
        <v>0.4</v>
      </c>
      <c r="T4">
        <v>0.4</v>
      </c>
      <c r="U4">
        <v>0.4</v>
      </c>
      <c r="V4">
        <v>0.6</v>
      </c>
      <c r="W4">
        <v>0.6</v>
      </c>
      <c r="X4">
        <v>0.6</v>
      </c>
      <c r="Y4">
        <v>0.8</v>
      </c>
      <c r="AA4">
        <v>0.6</v>
      </c>
      <c r="AB4">
        <v>0.6</v>
      </c>
      <c r="AC4">
        <v>0.4</v>
      </c>
      <c r="AD4">
        <v>0.4</v>
      </c>
      <c r="AE4" t="s">
        <v>122</v>
      </c>
      <c r="AF4" t="s">
        <v>155</v>
      </c>
      <c r="AG4" s="7" t="s">
        <v>156</v>
      </c>
      <c r="AH4" t="s">
        <v>157</v>
      </c>
      <c r="AI4" s="7" t="s">
        <v>158</v>
      </c>
      <c r="AJ4" t="s">
        <v>159</v>
      </c>
      <c r="AK4" s="7" t="s">
        <v>160</v>
      </c>
      <c r="AL4" t="s">
        <v>161</v>
      </c>
      <c r="AM4" s="7" t="s">
        <v>162</v>
      </c>
      <c r="AN4" t="s">
        <v>163</v>
      </c>
      <c r="AO4" s="7" t="s">
        <v>164</v>
      </c>
      <c r="AP4">
        <v>12</v>
      </c>
    </row>
    <row r="5" spans="1:42" x14ac:dyDescent="0.15">
      <c r="B5" t="s">
        <v>165</v>
      </c>
      <c r="C5" t="s">
        <v>165</v>
      </c>
      <c r="D5" t="s">
        <v>145</v>
      </c>
      <c r="E5">
        <v>0.8</v>
      </c>
      <c r="F5">
        <v>0.8</v>
      </c>
      <c r="G5">
        <v>2</v>
      </c>
      <c r="H5">
        <v>2</v>
      </c>
      <c r="I5">
        <v>2</v>
      </c>
      <c r="J5">
        <v>2</v>
      </c>
      <c r="K5">
        <v>2</v>
      </c>
      <c r="L5">
        <v>2</v>
      </c>
      <c r="M5">
        <v>4</v>
      </c>
      <c r="N5">
        <v>2</v>
      </c>
      <c r="O5">
        <v>2</v>
      </c>
      <c r="P5">
        <v>2</v>
      </c>
      <c r="Q5">
        <v>1</v>
      </c>
      <c r="R5">
        <v>0.5</v>
      </c>
      <c r="S5">
        <v>0.5</v>
      </c>
      <c r="T5">
        <v>0.5</v>
      </c>
      <c r="U5">
        <v>0.5</v>
      </c>
      <c r="V5">
        <v>0.8</v>
      </c>
      <c r="W5">
        <v>0.8</v>
      </c>
      <c r="X5">
        <v>0.8</v>
      </c>
      <c r="AA5">
        <v>0.8</v>
      </c>
      <c r="AC5">
        <v>0.5</v>
      </c>
      <c r="AD5">
        <v>0.5</v>
      </c>
      <c r="AE5" t="s">
        <v>123</v>
      </c>
      <c r="AF5" t="s">
        <v>166</v>
      </c>
      <c r="AG5" s="7" t="s">
        <v>167</v>
      </c>
      <c r="AH5" t="s">
        <v>168</v>
      </c>
      <c r="AI5" s="7" t="s">
        <v>169</v>
      </c>
      <c r="AJ5" t="s">
        <v>170</v>
      </c>
      <c r="AK5" s="7" t="s">
        <v>171</v>
      </c>
      <c r="AL5" t="s">
        <v>172</v>
      </c>
      <c r="AM5" s="7" t="s">
        <v>173</v>
      </c>
      <c r="AN5" t="s">
        <v>174</v>
      </c>
      <c r="AO5" s="7" t="s">
        <v>175</v>
      </c>
      <c r="AP5">
        <v>13</v>
      </c>
    </row>
    <row r="6" spans="1:42" x14ac:dyDescent="0.15">
      <c r="B6" t="s">
        <v>176</v>
      </c>
      <c r="C6" t="s">
        <v>176</v>
      </c>
      <c r="D6" t="s">
        <v>154</v>
      </c>
      <c r="E6">
        <v>1</v>
      </c>
      <c r="F6">
        <v>1</v>
      </c>
      <c r="G6">
        <v>3</v>
      </c>
      <c r="H6">
        <v>3</v>
      </c>
      <c r="I6">
        <v>3</v>
      </c>
      <c r="J6">
        <v>3</v>
      </c>
      <c r="K6">
        <v>3</v>
      </c>
      <c r="L6">
        <v>3</v>
      </c>
      <c r="M6">
        <v>5</v>
      </c>
      <c r="N6">
        <v>3</v>
      </c>
      <c r="O6">
        <v>3</v>
      </c>
      <c r="P6">
        <v>3</v>
      </c>
      <c r="Q6">
        <v>2</v>
      </c>
      <c r="R6">
        <v>0.6</v>
      </c>
      <c r="S6">
        <v>0.6</v>
      </c>
      <c r="T6">
        <v>0.6</v>
      </c>
      <c r="U6">
        <v>0.6</v>
      </c>
      <c r="AC6">
        <v>0.6</v>
      </c>
      <c r="AD6">
        <v>0.6</v>
      </c>
      <c r="AE6" t="s">
        <v>124</v>
      </c>
      <c r="AF6" t="s">
        <v>21</v>
      </c>
      <c r="AG6" s="7" t="s">
        <v>177</v>
      </c>
      <c r="AH6" t="s">
        <v>178</v>
      </c>
      <c r="AI6" s="7" t="s">
        <v>179</v>
      </c>
      <c r="AJ6" t="s">
        <v>180</v>
      </c>
      <c r="AK6" s="7" t="s">
        <v>181</v>
      </c>
      <c r="AL6" t="s">
        <v>182</v>
      </c>
      <c r="AM6" s="7" t="s">
        <v>183</v>
      </c>
      <c r="AO6" s="7" t="s">
        <v>184</v>
      </c>
      <c r="AP6">
        <v>14</v>
      </c>
    </row>
    <row r="7" spans="1:42" x14ac:dyDescent="0.15">
      <c r="B7" t="s">
        <v>185</v>
      </c>
      <c r="C7" t="s">
        <v>185</v>
      </c>
      <c r="D7" t="s">
        <v>165</v>
      </c>
      <c r="E7">
        <v>1.5</v>
      </c>
      <c r="F7">
        <v>1.5</v>
      </c>
      <c r="G7">
        <v>4</v>
      </c>
      <c r="H7">
        <v>4</v>
      </c>
      <c r="I7">
        <v>4</v>
      </c>
      <c r="J7">
        <v>4</v>
      </c>
      <c r="K7">
        <v>4</v>
      </c>
      <c r="L7">
        <v>4</v>
      </c>
      <c r="M7">
        <v>6</v>
      </c>
      <c r="N7">
        <v>4</v>
      </c>
      <c r="O7">
        <v>4</v>
      </c>
      <c r="P7">
        <v>4</v>
      </c>
      <c r="Q7">
        <v>3</v>
      </c>
      <c r="AD7">
        <v>0.7</v>
      </c>
      <c r="AE7" t="s">
        <v>125</v>
      </c>
      <c r="AF7" t="s">
        <v>186</v>
      </c>
      <c r="AG7" s="7" t="s">
        <v>187</v>
      </c>
      <c r="AH7" t="s">
        <v>188</v>
      </c>
      <c r="AI7" s="7" t="s">
        <v>189</v>
      </c>
      <c r="AJ7" t="s">
        <v>190</v>
      </c>
      <c r="AK7" s="7" t="s">
        <v>191</v>
      </c>
      <c r="AL7" t="s">
        <v>192</v>
      </c>
      <c r="AM7" s="7" t="s">
        <v>193</v>
      </c>
      <c r="AO7" s="7" t="s">
        <v>194</v>
      </c>
      <c r="AP7">
        <v>15</v>
      </c>
    </row>
    <row r="8" spans="1:42" x14ac:dyDescent="0.15">
      <c r="B8" t="s">
        <v>195</v>
      </c>
      <c r="C8" t="s">
        <v>195</v>
      </c>
      <c r="D8" t="s">
        <v>176</v>
      </c>
      <c r="E8">
        <v>2</v>
      </c>
      <c r="F8">
        <v>2</v>
      </c>
      <c r="G8">
        <v>5</v>
      </c>
      <c r="H8">
        <v>5</v>
      </c>
      <c r="I8">
        <v>5</v>
      </c>
      <c r="J8">
        <v>5</v>
      </c>
      <c r="K8">
        <v>5</v>
      </c>
      <c r="L8">
        <v>5</v>
      </c>
      <c r="M8">
        <v>7</v>
      </c>
      <c r="N8">
        <v>5</v>
      </c>
      <c r="Q8">
        <v>4</v>
      </c>
      <c r="AE8" t="s">
        <v>126</v>
      </c>
      <c r="AF8" t="s">
        <v>196</v>
      </c>
      <c r="AG8" s="7" t="s">
        <v>197</v>
      </c>
      <c r="AH8" t="s">
        <v>198</v>
      </c>
      <c r="AI8" s="7" t="s">
        <v>199</v>
      </c>
      <c r="AJ8" t="s">
        <v>200</v>
      </c>
      <c r="AK8" s="7" t="s">
        <v>201</v>
      </c>
      <c r="AL8" t="s">
        <v>6</v>
      </c>
      <c r="AM8" s="7" t="s">
        <v>6</v>
      </c>
      <c r="AP8">
        <v>16</v>
      </c>
    </row>
    <row r="9" spans="1:42" x14ac:dyDescent="0.15">
      <c r="B9" t="s">
        <v>202</v>
      </c>
      <c r="C9" t="s">
        <v>202</v>
      </c>
      <c r="D9" t="s">
        <v>185</v>
      </c>
      <c r="M9">
        <v>8</v>
      </c>
      <c r="AE9" t="s">
        <v>127</v>
      </c>
      <c r="AG9" s="7" t="s">
        <v>203</v>
      </c>
      <c r="AH9" t="s">
        <v>204</v>
      </c>
      <c r="AI9" s="7" t="s">
        <v>205</v>
      </c>
      <c r="AJ9" t="s">
        <v>206</v>
      </c>
      <c r="AP9">
        <v>17</v>
      </c>
    </row>
    <row r="10" spans="1:42" x14ac:dyDescent="0.15">
      <c r="B10" t="s">
        <v>207</v>
      </c>
      <c r="C10" t="s">
        <v>207</v>
      </c>
      <c r="D10" t="s">
        <v>195</v>
      </c>
      <c r="M10">
        <v>9</v>
      </c>
      <c r="AE10" t="s">
        <v>128</v>
      </c>
      <c r="AG10" s="7" t="s">
        <v>208</v>
      </c>
      <c r="AH10" t="s">
        <v>209</v>
      </c>
      <c r="AP10">
        <v>18</v>
      </c>
    </row>
    <row r="11" spans="1:42" x14ac:dyDescent="0.15">
      <c r="B11" t="s">
        <v>210</v>
      </c>
      <c r="C11" t="s">
        <v>210</v>
      </c>
      <c r="D11" t="s">
        <v>202</v>
      </c>
      <c r="M11">
        <v>10</v>
      </c>
      <c r="AE11" t="s">
        <v>129</v>
      </c>
      <c r="AG11" s="7" t="s">
        <v>211</v>
      </c>
      <c r="AH11" t="s">
        <v>212</v>
      </c>
      <c r="AP11">
        <v>19</v>
      </c>
    </row>
    <row r="12" spans="1:42" x14ac:dyDescent="0.15">
      <c r="B12" t="s">
        <v>213</v>
      </c>
      <c r="C12" t="s">
        <v>213</v>
      </c>
      <c r="D12" t="s">
        <v>207</v>
      </c>
      <c r="M12">
        <v>11</v>
      </c>
      <c r="AE12" t="s">
        <v>130</v>
      </c>
      <c r="AG12" s="7" t="s">
        <v>214</v>
      </c>
      <c r="AH12" t="s">
        <v>215</v>
      </c>
      <c r="AP12">
        <v>20</v>
      </c>
    </row>
    <row r="13" spans="1:42" x14ac:dyDescent="0.15">
      <c r="B13" t="s">
        <v>216</v>
      </c>
      <c r="C13" t="s">
        <v>216</v>
      </c>
      <c r="D13" t="s">
        <v>210</v>
      </c>
      <c r="M13">
        <v>12</v>
      </c>
      <c r="AE13" t="s">
        <v>131</v>
      </c>
      <c r="AG13" s="7" t="s">
        <v>217</v>
      </c>
      <c r="AH13" t="s">
        <v>218</v>
      </c>
      <c r="AP13">
        <v>21</v>
      </c>
    </row>
    <row r="14" spans="1:42" x14ac:dyDescent="0.15">
      <c r="B14" t="s">
        <v>219</v>
      </c>
      <c r="C14" t="s">
        <v>219</v>
      </c>
      <c r="D14" t="s">
        <v>213</v>
      </c>
      <c r="M14">
        <v>13</v>
      </c>
      <c r="AE14" t="s">
        <v>132</v>
      </c>
      <c r="AG14" s="7" t="s">
        <v>220</v>
      </c>
      <c r="AH14" t="s">
        <v>221</v>
      </c>
      <c r="AP14">
        <v>22</v>
      </c>
    </row>
    <row r="15" spans="1:42" x14ac:dyDescent="0.15">
      <c r="B15" t="s">
        <v>222</v>
      </c>
      <c r="C15" t="s">
        <v>222</v>
      </c>
      <c r="D15" t="s">
        <v>216</v>
      </c>
      <c r="AE15" t="s">
        <v>133</v>
      </c>
      <c r="AG15" s="7" t="s">
        <v>223</v>
      </c>
      <c r="AH15" t="s">
        <v>224</v>
      </c>
      <c r="AP15">
        <v>23</v>
      </c>
    </row>
    <row r="16" spans="1:42" x14ac:dyDescent="0.15">
      <c r="B16" t="s">
        <v>225</v>
      </c>
      <c r="C16" t="s">
        <v>225</v>
      </c>
      <c r="D16" t="s">
        <v>219</v>
      </c>
      <c r="AG16" s="7" t="s">
        <v>226</v>
      </c>
      <c r="AH16" t="s">
        <v>227</v>
      </c>
      <c r="AP16">
        <v>24</v>
      </c>
    </row>
    <row r="17" spans="2:42" x14ac:dyDescent="0.15">
      <c r="B17" t="s">
        <v>228</v>
      </c>
      <c r="C17" t="s">
        <v>228</v>
      </c>
      <c r="D17" t="s">
        <v>222</v>
      </c>
      <c r="AG17" s="7" t="s">
        <v>229</v>
      </c>
      <c r="AH17" t="s">
        <v>230</v>
      </c>
      <c r="AP17">
        <v>25</v>
      </c>
    </row>
    <row r="18" spans="2:42" x14ac:dyDescent="0.15">
      <c r="B18" t="s">
        <v>231</v>
      </c>
      <c r="C18" t="s">
        <v>231</v>
      </c>
      <c r="D18" t="s">
        <v>225</v>
      </c>
      <c r="AG18" s="7" t="s">
        <v>232</v>
      </c>
      <c r="AH18" t="s">
        <v>233</v>
      </c>
      <c r="AP18">
        <v>26</v>
      </c>
    </row>
    <row r="19" spans="2:42" x14ac:dyDescent="0.15">
      <c r="B19" t="s">
        <v>234</v>
      </c>
      <c r="C19" t="s">
        <v>234</v>
      </c>
      <c r="D19" t="s">
        <v>228</v>
      </c>
      <c r="AG19" s="7" t="s">
        <v>235</v>
      </c>
      <c r="AH19" t="s">
        <v>236</v>
      </c>
      <c r="AP19">
        <v>27</v>
      </c>
    </row>
    <row r="20" spans="2:42" x14ac:dyDescent="0.15">
      <c r="B20" t="s">
        <v>237</v>
      </c>
      <c r="C20" t="s">
        <v>237</v>
      </c>
      <c r="D20" t="s">
        <v>231</v>
      </c>
      <c r="AG20" s="7" t="s">
        <v>238</v>
      </c>
      <c r="AH20" t="s">
        <v>239</v>
      </c>
      <c r="AP20">
        <v>28</v>
      </c>
    </row>
    <row r="21" spans="2:42" x14ac:dyDescent="0.15">
      <c r="B21" t="s">
        <v>240</v>
      </c>
      <c r="C21" t="s">
        <v>240</v>
      </c>
      <c r="D21" t="s">
        <v>234</v>
      </c>
      <c r="AG21" s="7" t="s">
        <v>241</v>
      </c>
      <c r="AH21" t="s">
        <v>242</v>
      </c>
      <c r="AP21">
        <v>29</v>
      </c>
    </row>
    <row r="22" spans="2:42" x14ac:dyDescent="0.15">
      <c r="B22" t="s">
        <v>243</v>
      </c>
      <c r="C22" t="s">
        <v>243</v>
      </c>
      <c r="D22" t="s">
        <v>237</v>
      </c>
      <c r="AG22" s="7" t="s">
        <v>244</v>
      </c>
      <c r="AH22" t="s">
        <v>245</v>
      </c>
      <c r="AP22">
        <v>30</v>
      </c>
    </row>
    <row r="23" spans="2:42" x14ac:dyDescent="0.15">
      <c r="B23" t="s">
        <v>246</v>
      </c>
      <c r="C23" t="s">
        <v>246</v>
      </c>
      <c r="D23" t="s">
        <v>240</v>
      </c>
      <c r="AG23" s="7" t="s">
        <v>247</v>
      </c>
      <c r="AH23" t="s">
        <v>248</v>
      </c>
      <c r="AP23">
        <v>31</v>
      </c>
    </row>
    <row r="24" spans="2:42" x14ac:dyDescent="0.15">
      <c r="B24" t="s">
        <v>249</v>
      </c>
      <c r="C24" t="s">
        <v>249</v>
      </c>
      <c r="D24" t="s">
        <v>243</v>
      </c>
      <c r="AG24" s="7" t="s">
        <v>250</v>
      </c>
      <c r="AH24" t="s">
        <v>251</v>
      </c>
      <c r="AP24">
        <v>32</v>
      </c>
    </row>
    <row r="25" spans="2:42" x14ac:dyDescent="0.15">
      <c r="B25" t="s">
        <v>252</v>
      </c>
      <c r="C25" t="s">
        <v>252</v>
      </c>
      <c r="D25" t="s">
        <v>246</v>
      </c>
      <c r="AG25" s="7" t="s">
        <v>253</v>
      </c>
      <c r="AH25" t="s">
        <v>254</v>
      </c>
      <c r="AP25">
        <v>33</v>
      </c>
    </row>
    <row r="26" spans="2:42" x14ac:dyDescent="0.15">
      <c r="B26" t="s">
        <v>255</v>
      </c>
      <c r="C26" t="s">
        <v>255</v>
      </c>
      <c r="D26" t="s">
        <v>249</v>
      </c>
      <c r="AG26" s="7" t="s">
        <v>256</v>
      </c>
      <c r="AH26" t="s">
        <v>257</v>
      </c>
      <c r="AP26">
        <v>34</v>
      </c>
    </row>
    <row r="27" spans="2:42" x14ac:dyDescent="0.15">
      <c r="B27" t="s">
        <v>258</v>
      </c>
      <c r="C27" t="s">
        <v>258</v>
      </c>
      <c r="D27" t="s">
        <v>252</v>
      </c>
      <c r="AG27" s="7" t="s">
        <v>259</v>
      </c>
      <c r="AH27" t="s">
        <v>260</v>
      </c>
      <c r="AP27">
        <v>35</v>
      </c>
    </row>
    <row r="28" spans="2:42" x14ac:dyDescent="0.15">
      <c r="B28" t="s">
        <v>261</v>
      </c>
      <c r="C28" t="s">
        <v>261</v>
      </c>
      <c r="D28" t="s">
        <v>255</v>
      </c>
      <c r="AG28" s="7" t="s">
        <v>262</v>
      </c>
      <c r="AH28" t="s">
        <v>263</v>
      </c>
      <c r="AP28">
        <v>36</v>
      </c>
    </row>
    <row r="29" spans="2:42" x14ac:dyDescent="0.15">
      <c r="B29" t="s">
        <v>264</v>
      </c>
      <c r="C29" t="s">
        <v>264</v>
      </c>
      <c r="D29" t="s">
        <v>258</v>
      </c>
      <c r="AG29" s="7" t="s">
        <v>265</v>
      </c>
      <c r="AH29" t="s">
        <v>266</v>
      </c>
      <c r="AP29">
        <v>37</v>
      </c>
    </row>
    <row r="30" spans="2:42" x14ac:dyDescent="0.15">
      <c r="B30" t="s">
        <v>267</v>
      </c>
      <c r="C30" t="s">
        <v>267</v>
      </c>
      <c r="D30" t="s">
        <v>261</v>
      </c>
      <c r="AG30" s="7" t="s">
        <v>268</v>
      </c>
      <c r="AH30" t="s">
        <v>269</v>
      </c>
      <c r="AP30">
        <v>38</v>
      </c>
    </row>
    <row r="31" spans="2:42" x14ac:dyDescent="0.15">
      <c r="B31" t="s">
        <v>270</v>
      </c>
      <c r="C31" t="s">
        <v>270</v>
      </c>
      <c r="D31" t="s">
        <v>264</v>
      </c>
      <c r="AG31" s="7" t="s">
        <v>271</v>
      </c>
      <c r="AH31" t="s">
        <v>272</v>
      </c>
      <c r="AP31">
        <v>39</v>
      </c>
    </row>
    <row r="32" spans="2:42" x14ac:dyDescent="0.15">
      <c r="B32" t="s">
        <v>273</v>
      </c>
      <c r="C32" t="s">
        <v>273</v>
      </c>
      <c r="D32" t="s">
        <v>267</v>
      </c>
      <c r="AG32" s="7" t="s">
        <v>274</v>
      </c>
      <c r="AH32" t="s">
        <v>275</v>
      </c>
      <c r="AP32">
        <v>40</v>
      </c>
    </row>
    <row r="33" spans="2:42" x14ac:dyDescent="0.15">
      <c r="B33" t="s">
        <v>276</v>
      </c>
      <c r="C33" t="s">
        <v>276</v>
      </c>
      <c r="D33" t="s">
        <v>270</v>
      </c>
      <c r="AG33" s="7" t="s">
        <v>277</v>
      </c>
      <c r="AH33" t="s">
        <v>278</v>
      </c>
      <c r="AP33">
        <v>41</v>
      </c>
    </row>
    <row r="34" spans="2:42" x14ac:dyDescent="0.15">
      <c r="B34" t="s">
        <v>279</v>
      </c>
      <c r="C34" t="s">
        <v>279</v>
      </c>
      <c r="D34" t="s">
        <v>273</v>
      </c>
      <c r="AG34" s="7" t="s">
        <v>280</v>
      </c>
      <c r="AH34" t="s">
        <v>281</v>
      </c>
      <c r="AP34">
        <v>42</v>
      </c>
    </row>
    <row r="35" spans="2:42" x14ac:dyDescent="0.15">
      <c r="B35" t="s">
        <v>282</v>
      </c>
      <c r="C35" t="s">
        <v>282</v>
      </c>
      <c r="D35" t="s">
        <v>276</v>
      </c>
      <c r="AG35" s="7" t="s">
        <v>283</v>
      </c>
      <c r="AH35" t="s">
        <v>284</v>
      </c>
      <c r="AP35">
        <v>43</v>
      </c>
    </row>
    <row r="36" spans="2:42" x14ac:dyDescent="0.15">
      <c r="B36" t="s">
        <v>285</v>
      </c>
      <c r="C36" t="s">
        <v>285</v>
      </c>
      <c r="D36" t="s">
        <v>279</v>
      </c>
      <c r="AG36" s="7" t="s">
        <v>286</v>
      </c>
      <c r="AH36" t="s">
        <v>287</v>
      </c>
      <c r="AP36">
        <v>44</v>
      </c>
    </row>
    <row r="37" spans="2:42" x14ac:dyDescent="0.15">
      <c r="B37" t="s">
        <v>288</v>
      </c>
      <c r="C37" t="s">
        <v>288</v>
      </c>
      <c r="D37" t="s">
        <v>282</v>
      </c>
      <c r="AG37" s="7" t="s">
        <v>289</v>
      </c>
      <c r="AH37" t="s">
        <v>290</v>
      </c>
      <c r="AP37">
        <v>45</v>
      </c>
    </row>
    <row r="38" spans="2:42" x14ac:dyDescent="0.15">
      <c r="B38" t="s">
        <v>291</v>
      </c>
      <c r="C38" t="s">
        <v>291</v>
      </c>
      <c r="D38" t="s">
        <v>285</v>
      </c>
      <c r="AG38" s="7" t="s">
        <v>292</v>
      </c>
      <c r="AH38" t="s">
        <v>293</v>
      </c>
      <c r="AP38">
        <v>46</v>
      </c>
    </row>
    <row r="39" spans="2:42" x14ac:dyDescent="0.15">
      <c r="B39" t="s">
        <v>294</v>
      </c>
      <c r="C39" t="s">
        <v>294</v>
      </c>
      <c r="D39" t="s">
        <v>288</v>
      </c>
      <c r="AG39" s="7" t="s">
        <v>295</v>
      </c>
      <c r="AH39" t="s">
        <v>296</v>
      </c>
      <c r="AP39">
        <v>99</v>
      </c>
    </row>
    <row r="40" spans="2:42" x14ac:dyDescent="0.15">
      <c r="B40" t="s">
        <v>297</v>
      </c>
      <c r="C40" t="s">
        <v>297</v>
      </c>
      <c r="D40" t="s">
        <v>291</v>
      </c>
      <c r="AG40" s="7" t="s">
        <v>298</v>
      </c>
      <c r="AH40" t="s">
        <v>299</v>
      </c>
    </row>
    <row r="41" spans="2:42" x14ac:dyDescent="0.15">
      <c r="B41" t="s">
        <v>300</v>
      </c>
      <c r="C41" t="s">
        <v>300</v>
      </c>
      <c r="D41" t="s">
        <v>294</v>
      </c>
      <c r="AG41" s="7" t="s">
        <v>301</v>
      </c>
      <c r="AH41" t="s">
        <v>302</v>
      </c>
    </row>
    <row r="42" spans="2:42" x14ac:dyDescent="0.15">
      <c r="B42" t="s">
        <v>303</v>
      </c>
      <c r="C42" t="s">
        <v>303</v>
      </c>
      <c r="D42" t="s">
        <v>297</v>
      </c>
      <c r="AG42" s="7" t="s">
        <v>304</v>
      </c>
      <c r="AH42" t="s">
        <v>305</v>
      </c>
    </row>
    <row r="43" spans="2:42" x14ac:dyDescent="0.15">
      <c r="B43" t="s">
        <v>306</v>
      </c>
      <c r="C43" t="s">
        <v>306</v>
      </c>
      <c r="D43" t="s">
        <v>300</v>
      </c>
      <c r="AG43" s="7" t="s">
        <v>307</v>
      </c>
      <c r="AH43" t="s">
        <v>308</v>
      </c>
    </row>
    <row r="44" spans="2:42" x14ac:dyDescent="0.15">
      <c r="B44" t="s">
        <v>309</v>
      </c>
      <c r="C44" t="s">
        <v>309</v>
      </c>
      <c r="D44" t="s">
        <v>303</v>
      </c>
      <c r="AG44" s="7" t="s">
        <v>310</v>
      </c>
      <c r="AH44" t="s">
        <v>311</v>
      </c>
    </row>
    <row r="45" spans="2:42" x14ac:dyDescent="0.15">
      <c r="B45" t="s">
        <v>312</v>
      </c>
      <c r="C45" t="s">
        <v>312</v>
      </c>
      <c r="D45" t="s">
        <v>306</v>
      </c>
      <c r="AG45" s="7" t="s">
        <v>313</v>
      </c>
      <c r="AH45" t="s">
        <v>314</v>
      </c>
    </row>
    <row r="46" spans="2:42" x14ac:dyDescent="0.15">
      <c r="B46" t="s">
        <v>315</v>
      </c>
      <c r="C46" t="s">
        <v>315</v>
      </c>
      <c r="D46" t="s">
        <v>309</v>
      </c>
      <c r="AG46" s="7" t="s">
        <v>316</v>
      </c>
      <c r="AH46" t="s">
        <v>317</v>
      </c>
    </row>
    <row r="47" spans="2:42" x14ac:dyDescent="0.15">
      <c r="B47" t="s">
        <v>318</v>
      </c>
      <c r="C47" t="s">
        <v>318</v>
      </c>
      <c r="D47" t="s">
        <v>312</v>
      </c>
      <c r="AG47" s="7" t="s">
        <v>319</v>
      </c>
      <c r="AH47" t="s">
        <v>320</v>
      </c>
    </row>
    <row r="48" spans="2:42" x14ac:dyDescent="0.15">
      <c r="B48" t="s">
        <v>321</v>
      </c>
      <c r="C48" t="s">
        <v>321</v>
      </c>
      <c r="D48" t="s">
        <v>315</v>
      </c>
      <c r="AG48" s="7" t="s">
        <v>322</v>
      </c>
      <c r="AH48" t="s">
        <v>323</v>
      </c>
    </row>
    <row r="49" spans="2:34" customFormat="1" x14ac:dyDescent="0.15">
      <c r="B49" t="s">
        <v>324</v>
      </c>
      <c r="C49" t="s">
        <v>324</v>
      </c>
      <c r="D49" t="s">
        <v>318</v>
      </c>
      <c r="AG49" s="7" t="s">
        <v>325</v>
      </c>
      <c r="AH49" t="s">
        <v>326</v>
      </c>
    </row>
    <row r="50" spans="2:34" customFormat="1" x14ac:dyDescent="0.15">
      <c r="D50" t="s">
        <v>321</v>
      </c>
      <c r="AG50" s="7" t="s">
        <v>327</v>
      </c>
      <c r="AH50" t="s">
        <v>328</v>
      </c>
    </row>
    <row r="51" spans="2:34" customFormat="1" x14ac:dyDescent="0.15">
      <c r="D51" t="s">
        <v>324</v>
      </c>
      <c r="AG51" s="7" t="s">
        <v>329</v>
      </c>
      <c r="AH51" t="s">
        <v>330</v>
      </c>
    </row>
    <row r="52" spans="2:34" customFormat="1" x14ac:dyDescent="0.15">
      <c r="AG52" s="7" t="s">
        <v>331</v>
      </c>
      <c r="AH52" t="s">
        <v>332</v>
      </c>
    </row>
    <row r="53" spans="2:34" customFormat="1" x14ac:dyDescent="0.15">
      <c r="AG53" s="7" t="s">
        <v>333</v>
      </c>
      <c r="AH53" t="s">
        <v>334</v>
      </c>
    </row>
    <row r="54" spans="2:34" customFormat="1" x14ac:dyDescent="0.15">
      <c r="AG54" s="7" t="s">
        <v>335</v>
      </c>
      <c r="AH54" t="s">
        <v>336</v>
      </c>
    </row>
    <row r="55" spans="2:34" customFormat="1" x14ac:dyDescent="0.15">
      <c r="AG55" s="7" t="s">
        <v>337</v>
      </c>
      <c r="AH55" t="s">
        <v>338</v>
      </c>
    </row>
    <row r="56" spans="2:34" customFormat="1" x14ac:dyDescent="0.15">
      <c r="AG56" s="7" t="s">
        <v>339</v>
      </c>
      <c r="AH56" t="s">
        <v>340</v>
      </c>
    </row>
    <row r="57" spans="2:34" customFormat="1" x14ac:dyDescent="0.15">
      <c r="AG57" s="7" t="s">
        <v>341</v>
      </c>
      <c r="AH57" t="s">
        <v>342</v>
      </c>
    </row>
    <row r="58" spans="2:34" customFormat="1" x14ac:dyDescent="0.15">
      <c r="AG58" s="7" t="s">
        <v>343</v>
      </c>
      <c r="AH58" t="s">
        <v>344</v>
      </c>
    </row>
    <row r="59" spans="2:34" customFormat="1" x14ac:dyDescent="0.15">
      <c r="AG59" s="7" t="s">
        <v>345</v>
      </c>
      <c r="AH59" t="s">
        <v>346</v>
      </c>
    </row>
    <row r="60" spans="2:34" customFormat="1" x14ac:dyDescent="0.15">
      <c r="AG60" s="7" t="s">
        <v>347</v>
      </c>
      <c r="AH60" t="s">
        <v>348</v>
      </c>
    </row>
    <row r="61" spans="2:34" customFormat="1" x14ac:dyDescent="0.15">
      <c r="AG61" s="7" t="s">
        <v>349</v>
      </c>
      <c r="AH61" t="s">
        <v>350</v>
      </c>
    </row>
    <row r="62" spans="2:34" customFormat="1" x14ac:dyDescent="0.15">
      <c r="AG62" s="7" t="s">
        <v>351</v>
      </c>
      <c r="AH62" t="s">
        <v>352</v>
      </c>
    </row>
    <row r="63" spans="2:34" customFormat="1" x14ac:dyDescent="0.15">
      <c r="AG63" s="7" t="s">
        <v>353</v>
      </c>
      <c r="AH63" t="s">
        <v>354</v>
      </c>
    </row>
    <row r="64" spans="2:34" customFormat="1" x14ac:dyDescent="0.15">
      <c r="AG64" s="7" t="s">
        <v>355</v>
      </c>
      <c r="AH64" t="s">
        <v>356</v>
      </c>
    </row>
    <row r="65" spans="33:34" customFormat="1" x14ac:dyDescent="0.15">
      <c r="AG65" s="7" t="s">
        <v>357</v>
      </c>
      <c r="AH65" t="s">
        <v>358</v>
      </c>
    </row>
    <row r="66" spans="33:34" customFormat="1" x14ac:dyDescent="0.15">
      <c r="AG66" s="7" t="s">
        <v>359</v>
      </c>
      <c r="AH66" t="s">
        <v>360</v>
      </c>
    </row>
    <row r="67" spans="33:34" customFormat="1" x14ac:dyDescent="0.15">
      <c r="AG67" s="7" t="s">
        <v>361</v>
      </c>
      <c r="AH67" t="s">
        <v>362</v>
      </c>
    </row>
    <row r="68" spans="33:34" customFormat="1" x14ac:dyDescent="0.15">
      <c r="AG68" s="7" t="s">
        <v>363</v>
      </c>
      <c r="AH68" t="s">
        <v>364</v>
      </c>
    </row>
  </sheetData>
  <phoneticPr fontId="41"/>
  <pageMargins left="0.7" right="0.7" top="0.75" bottom="0.75" header="0.3" footer="0.3"/>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CFFCC"/>
  </sheetPr>
  <dimension ref="A1:C65"/>
  <sheetViews>
    <sheetView workbookViewId="0"/>
  </sheetViews>
  <sheetFormatPr defaultColWidth="9" defaultRowHeight="13.5" x14ac:dyDescent="0.15"/>
  <cols>
    <col min="1" max="1" width="52.625" style="20" customWidth="1"/>
    <col min="2" max="2" width="9" style="20" customWidth="1"/>
    <col min="3" max="16384" width="9" style="20"/>
  </cols>
  <sheetData>
    <row r="1" spans="1:3" x14ac:dyDescent="0.15">
      <c r="A1" s="28" t="s">
        <v>57</v>
      </c>
      <c r="B1" s="28" t="s">
        <v>147</v>
      </c>
      <c r="C1" s="23" t="s">
        <v>434</v>
      </c>
    </row>
    <row r="2" spans="1:3" x14ac:dyDescent="0.15">
      <c r="A2" s="28" t="s">
        <v>336</v>
      </c>
      <c r="B2" s="28" t="s">
        <v>335</v>
      </c>
    </row>
    <row r="3" spans="1:3" x14ac:dyDescent="0.15">
      <c r="A3" s="28" t="s">
        <v>157</v>
      </c>
      <c r="B3" s="28" t="s">
        <v>156</v>
      </c>
    </row>
    <row r="4" spans="1:3" x14ac:dyDescent="0.15">
      <c r="A4" s="28" t="s">
        <v>168</v>
      </c>
      <c r="B4" s="28" t="s">
        <v>167</v>
      </c>
    </row>
    <row r="5" spans="1:3" x14ac:dyDescent="0.15">
      <c r="A5" s="28" t="s">
        <v>178</v>
      </c>
      <c r="B5" s="28" t="s">
        <v>177</v>
      </c>
    </row>
    <row r="6" spans="1:3" x14ac:dyDescent="0.15">
      <c r="A6" s="28" t="s">
        <v>188</v>
      </c>
      <c r="B6" s="28" t="s">
        <v>187</v>
      </c>
    </row>
    <row r="7" spans="1:3" x14ac:dyDescent="0.15">
      <c r="A7" s="28" t="s">
        <v>198</v>
      </c>
      <c r="B7" s="28" t="s">
        <v>197</v>
      </c>
    </row>
    <row r="8" spans="1:3" x14ac:dyDescent="0.15">
      <c r="A8" s="28" t="s">
        <v>204</v>
      </c>
      <c r="B8" s="28" t="s">
        <v>203</v>
      </c>
    </row>
    <row r="9" spans="1:3" x14ac:dyDescent="0.15">
      <c r="A9" s="28" t="s">
        <v>209</v>
      </c>
      <c r="B9" s="28" t="s">
        <v>208</v>
      </c>
    </row>
    <row r="10" spans="1:3" x14ac:dyDescent="0.15">
      <c r="A10" s="28" t="s">
        <v>503</v>
      </c>
      <c r="B10" s="28" t="s">
        <v>211</v>
      </c>
    </row>
    <row r="11" spans="1:3" x14ac:dyDescent="0.15">
      <c r="A11" s="28" t="s">
        <v>215</v>
      </c>
      <c r="B11" s="28" t="s">
        <v>214</v>
      </c>
    </row>
    <row r="12" spans="1:3" x14ac:dyDescent="0.15">
      <c r="A12" s="28" t="s">
        <v>218</v>
      </c>
      <c r="B12" s="28" t="s">
        <v>217</v>
      </c>
    </row>
    <row r="13" spans="1:3" x14ac:dyDescent="0.15">
      <c r="A13" s="28" t="s">
        <v>221</v>
      </c>
      <c r="B13" s="28" t="s">
        <v>220</v>
      </c>
    </row>
    <row r="14" spans="1:3" x14ac:dyDescent="0.15">
      <c r="A14" s="28" t="s">
        <v>224</v>
      </c>
      <c r="B14" s="28" t="s">
        <v>223</v>
      </c>
    </row>
    <row r="15" spans="1:3" x14ac:dyDescent="0.15">
      <c r="A15" s="28" t="s">
        <v>502</v>
      </c>
      <c r="B15" s="28" t="s">
        <v>226</v>
      </c>
    </row>
    <row r="16" spans="1:3" x14ac:dyDescent="0.15">
      <c r="A16" s="28" t="s">
        <v>501</v>
      </c>
      <c r="B16" s="28" t="s">
        <v>229</v>
      </c>
    </row>
    <row r="17" spans="1:2" x14ac:dyDescent="0.15">
      <c r="A17" s="28" t="s">
        <v>233</v>
      </c>
      <c r="B17" s="28" t="s">
        <v>232</v>
      </c>
    </row>
    <row r="18" spans="1:2" x14ac:dyDescent="0.15">
      <c r="A18" s="28" t="s">
        <v>500</v>
      </c>
      <c r="B18" s="28" t="s">
        <v>235</v>
      </c>
    </row>
    <row r="19" spans="1:2" x14ac:dyDescent="0.15">
      <c r="A19" s="28" t="s">
        <v>239</v>
      </c>
      <c r="B19" s="28" t="s">
        <v>238</v>
      </c>
    </row>
    <row r="20" spans="1:2" x14ac:dyDescent="0.15">
      <c r="A20" s="28" t="s">
        <v>242</v>
      </c>
      <c r="B20" s="28" t="s">
        <v>241</v>
      </c>
    </row>
    <row r="21" spans="1:2" x14ac:dyDescent="0.15">
      <c r="A21" s="28" t="s">
        <v>499</v>
      </c>
      <c r="B21" s="28" t="s">
        <v>244</v>
      </c>
    </row>
    <row r="22" spans="1:2" x14ac:dyDescent="0.15">
      <c r="A22" s="28" t="s">
        <v>251</v>
      </c>
      <c r="B22" s="28" t="s">
        <v>250</v>
      </c>
    </row>
    <row r="23" spans="1:2" x14ac:dyDescent="0.15">
      <c r="A23" s="28" t="s">
        <v>254</v>
      </c>
      <c r="B23" s="28" t="s">
        <v>253</v>
      </c>
    </row>
    <row r="24" spans="1:2" x14ac:dyDescent="0.15">
      <c r="A24" s="28" t="s">
        <v>257</v>
      </c>
      <c r="B24" s="28" t="s">
        <v>256</v>
      </c>
    </row>
    <row r="25" spans="1:2" x14ac:dyDescent="0.15">
      <c r="A25" s="28" t="s">
        <v>260</v>
      </c>
      <c r="B25" s="28" t="s">
        <v>259</v>
      </c>
    </row>
    <row r="26" spans="1:2" x14ac:dyDescent="0.15">
      <c r="A26" s="28" t="s">
        <v>263</v>
      </c>
      <c r="B26" s="28" t="s">
        <v>262</v>
      </c>
    </row>
    <row r="27" spans="1:2" x14ac:dyDescent="0.15">
      <c r="A27" s="28" t="s">
        <v>266</v>
      </c>
      <c r="B27" s="28" t="s">
        <v>265</v>
      </c>
    </row>
    <row r="28" spans="1:2" x14ac:dyDescent="0.15">
      <c r="A28" s="28" t="s">
        <v>498</v>
      </c>
      <c r="B28" s="28" t="s">
        <v>268</v>
      </c>
    </row>
    <row r="29" spans="1:2" x14ac:dyDescent="0.15">
      <c r="A29" s="28" t="s">
        <v>272</v>
      </c>
      <c r="B29" s="28" t="s">
        <v>271</v>
      </c>
    </row>
    <row r="30" spans="1:2" x14ac:dyDescent="0.15">
      <c r="A30" s="28" t="s">
        <v>497</v>
      </c>
      <c r="B30" s="28" t="s">
        <v>274</v>
      </c>
    </row>
    <row r="31" spans="1:2" x14ac:dyDescent="0.15">
      <c r="A31" s="28" t="s">
        <v>496</v>
      </c>
      <c r="B31" s="28" t="s">
        <v>277</v>
      </c>
    </row>
    <row r="32" spans="1:2" x14ac:dyDescent="0.15">
      <c r="A32" s="28" t="s">
        <v>281</v>
      </c>
      <c r="B32" s="28" t="s">
        <v>280</v>
      </c>
    </row>
    <row r="33" spans="1:2" x14ac:dyDescent="0.15">
      <c r="A33" s="28" t="s">
        <v>284</v>
      </c>
      <c r="B33" s="28" t="s">
        <v>283</v>
      </c>
    </row>
    <row r="34" spans="1:2" x14ac:dyDescent="0.15">
      <c r="A34" s="28" t="s">
        <v>287</v>
      </c>
      <c r="B34" s="28" t="s">
        <v>286</v>
      </c>
    </row>
    <row r="35" spans="1:2" x14ac:dyDescent="0.15">
      <c r="A35" s="28" t="s">
        <v>290</v>
      </c>
      <c r="B35" s="28" t="s">
        <v>289</v>
      </c>
    </row>
    <row r="36" spans="1:2" x14ac:dyDescent="0.15">
      <c r="A36" s="28" t="s">
        <v>293</v>
      </c>
      <c r="B36" s="28" t="s">
        <v>292</v>
      </c>
    </row>
    <row r="37" spans="1:2" x14ac:dyDescent="0.15">
      <c r="A37" s="28" t="s">
        <v>495</v>
      </c>
      <c r="B37" s="28" t="s">
        <v>295</v>
      </c>
    </row>
    <row r="38" spans="1:2" x14ac:dyDescent="0.15">
      <c r="A38" s="28" t="s">
        <v>494</v>
      </c>
      <c r="B38" s="28" t="s">
        <v>298</v>
      </c>
    </row>
    <row r="39" spans="1:2" x14ac:dyDescent="0.15">
      <c r="A39" s="28" t="s">
        <v>302</v>
      </c>
      <c r="B39" s="28" t="s">
        <v>301</v>
      </c>
    </row>
    <row r="40" spans="1:2" x14ac:dyDescent="0.15">
      <c r="A40" s="28" t="s">
        <v>305</v>
      </c>
      <c r="B40" s="28" t="s">
        <v>304</v>
      </c>
    </row>
    <row r="41" spans="1:2" x14ac:dyDescent="0.15">
      <c r="A41" s="28" t="s">
        <v>308</v>
      </c>
      <c r="B41" s="28" t="s">
        <v>307</v>
      </c>
    </row>
    <row r="42" spans="1:2" x14ac:dyDescent="0.15">
      <c r="A42" s="28" t="s">
        <v>311</v>
      </c>
      <c r="B42" s="28" t="s">
        <v>310</v>
      </c>
    </row>
    <row r="43" spans="1:2" x14ac:dyDescent="0.15">
      <c r="A43" s="28" t="s">
        <v>314</v>
      </c>
      <c r="B43" s="28" t="s">
        <v>313</v>
      </c>
    </row>
    <row r="44" spans="1:2" x14ac:dyDescent="0.15">
      <c r="A44" s="28" t="s">
        <v>493</v>
      </c>
      <c r="B44" s="28" t="s">
        <v>316</v>
      </c>
    </row>
    <row r="45" spans="1:2" x14ac:dyDescent="0.15">
      <c r="A45" s="28" t="s">
        <v>492</v>
      </c>
      <c r="B45" s="28" t="s">
        <v>319</v>
      </c>
    </row>
    <row r="46" spans="1:2" x14ac:dyDescent="0.15">
      <c r="A46" s="28" t="s">
        <v>323</v>
      </c>
      <c r="B46" s="28" t="s">
        <v>322</v>
      </c>
    </row>
    <row r="47" spans="1:2" x14ac:dyDescent="0.15">
      <c r="A47" s="28" t="s">
        <v>491</v>
      </c>
      <c r="B47" s="28" t="s">
        <v>325</v>
      </c>
    </row>
    <row r="48" spans="1:2" x14ac:dyDescent="0.15">
      <c r="A48" s="28" t="s">
        <v>490</v>
      </c>
      <c r="B48" s="28" t="s">
        <v>327</v>
      </c>
    </row>
    <row r="49" spans="1:2" x14ac:dyDescent="0.15">
      <c r="A49" s="28" t="s">
        <v>489</v>
      </c>
      <c r="B49" s="28" t="s">
        <v>329</v>
      </c>
    </row>
    <row r="50" spans="1:2" x14ac:dyDescent="0.15">
      <c r="A50" s="28" t="s">
        <v>332</v>
      </c>
      <c r="B50" s="28" t="s">
        <v>331</v>
      </c>
    </row>
    <row r="51" spans="1:2" x14ac:dyDescent="0.15">
      <c r="A51" s="28" t="s">
        <v>334</v>
      </c>
      <c r="B51" s="28" t="s">
        <v>333</v>
      </c>
    </row>
    <row r="52" spans="1:2" x14ac:dyDescent="0.15">
      <c r="A52" s="28" t="s">
        <v>488</v>
      </c>
      <c r="B52" s="28" t="s">
        <v>337</v>
      </c>
    </row>
    <row r="53" spans="1:2" x14ac:dyDescent="0.15">
      <c r="A53" s="28" t="s">
        <v>340</v>
      </c>
      <c r="B53" s="28" t="s">
        <v>339</v>
      </c>
    </row>
    <row r="54" spans="1:2" x14ac:dyDescent="0.15">
      <c r="A54" s="28" t="s">
        <v>342</v>
      </c>
      <c r="B54" s="28" t="s">
        <v>341</v>
      </c>
    </row>
    <row r="55" spans="1:2" x14ac:dyDescent="0.15">
      <c r="A55" s="28" t="s">
        <v>344</v>
      </c>
      <c r="B55" s="28" t="s">
        <v>343</v>
      </c>
    </row>
    <row r="56" spans="1:2" x14ac:dyDescent="0.15">
      <c r="A56" s="28" t="s">
        <v>346</v>
      </c>
      <c r="B56" s="28" t="s">
        <v>345</v>
      </c>
    </row>
    <row r="57" spans="1:2" x14ac:dyDescent="0.15">
      <c r="A57" s="28" t="s">
        <v>348</v>
      </c>
      <c r="B57" s="28" t="s">
        <v>347</v>
      </c>
    </row>
    <row r="58" spans="1:2" x14ac:dyDescent="0.15">
      <c r="A58" s="28" t="s">
        <v>350</v>
      </c>
      <c r="B58" s="28" t="s">
        <v>349</v>
      </c>
    </row>
    <row r="59" spans="1:2" x14ac:dyDescent="0.15">
      <c r="A59" s="28" t="s">
        <v>352</v>
      </c>
      <c r="B59" s="28" t="s">
        <v>351</v>
      </c>
    </row>
    <row r="60" spans="1:2" x14ac:dyDescent="0.15">
      <c r="A60" s="28" t="s">
        <v>354</v>
      </c>
      <c r="B60" s="28" t="s">
        <v>353</v>
      </c>
    </row>
    <row r="61" spans="1:2" x14ac:dyDescent="0.15">
      <c r="A61" s="28" t="s">
        <v>356</v>
      </c>
      <c r="B61" s="28" t="s">
        <v>355</v>
      </c>
    </row>
    <row r="62" spans="1:2" x14ac:dyDescent="0.15">
      <c r="A62" s="28" t="s">
        <v>487</v>
      </c>
      <c r="B62" s="28" t="s">
        <v>357</v>
      </c>
    </row>
    <row r="63" spans="1:2" x14ac:dyDescent="0.15">
      <c r="A63" s="28" t="s">
        <v>360</v>
      </c>
      <c r="B63" s="28" t="s">
        <v>359</v>
      </c>
    </row>
    <row r="64" spans="1:2" x14ac:dyDescent="0.15">
      <c r="A64" s="28" t="s">
        <v>362</v>
      </c>
      <c r="B64" s="28" t="s">
        <v>361</v>
      </c>
    </row>
    <row r="65" spans="1:2" x14ac:dyDescent="0.15">
      <c r="A65" s="28" t="s">
        <v>6</v>
      </c>
      <c r="B65" s="28" t="s">
        <v>363</v>
      </c>
    </row>
  </sheetData>
  <phoneticPr fontId="41"/>
  <hyperlinks>
    <hyperlink ref="C1" location="トップ!A1" display="トップ" xr:uid="{00000000-0004-0000-0500-000000000000}"/>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CFFCC"/>
  </sheetPr>
  <dimension ref="A1:U37"/>
  <sheetViews>
    <sheetView topLeftCell="B1" workbookViewId="0">
      <selection activeCell="O2" sqref="O2"/>
    </sheetView>
  </sheetViews>
  <sheetFormatPr defaultColWidth="9" defaultRowHeight="13.5" x14ac:dyDescent="0.15"/>
  <cols>
    <col min="1" max="2" width="9" style="20" customWidth="1"/>
    <col min="3" max="3" width="32.75" style="20" bestFit="1" customWidth="1"/>
    <col min="4" max="4" width="13" style="20" bestFit="1" customWidth="1"/>
    <col min="5" max="9" width="3.375" style="20" bestFit="1" customWidth="1"/>
    <col min="10" max="10" width="4.375" style="20" bestFit="1" customWidth="1"/>
    <col min="11" max="11" width="24.125" style="20" bestFit="1" customWidth="1"/>
    <col min="12" max="12" width="20.375" style="20" bestFit="1" customWidth="1"/>
    <col min="13" max="13" width="36.125" style="20" bestFit="1" customWidth="1"/>
    <col min="14" max="14" width="55.25" style="20" bestFit="1" customWidth="1"/>
    <col min="15" max="15" width="6.75" style="20" bestFit="1" customWidth="1"/>
    <col min="16" max="20" width="3.375" style="20" bestFit="1" customWidth="1"/>
    <col min="21" max="21" width="3.625" style="20" customWidth="1"/>
    <col min="22" max="22" width="9" style="20" customWidth="1"/>
    <col min="23" max="16384" width="9" style="20"/>
  </cols>
  <sheetData>
    <row r="1" spans="1:21" x14ac:dyDescent="0.15">
      <c r="A1" s="21" t="s">
        <v>434</v>
      </c>
      <c r="I1" s="27" t="s">
        <v>42</v>
      </c>
      <c r="K1" s="20" t="s">
        <v>486</v>
      </c>
      <c r="L1" s="20" t="s">
        <v>485</v>
      </c>
      <c r="Q1" s="25" t="s">
        <v>153</v>
      </c>
      <c r="R1" s="20">
        <v>11</v>
      </c>
      <c r="S1" s="20" t="s">
        <v>435</v>
      </c>
      <c r="T1" s="20" t="s">
        <v>438</v>
      </c>
    </row>
    <row r="2" spans="1:21" x14ac:dyDescent="0.15">
      <c r="B2" s="20" t="s">
        <v>484</v>
      </c>
      <c r="C2" s="20" t="s">
        <v>483</v>
      </c>
      <c r="D2" s="20" t="s">
        <v>144</v>
      </c>
      <c r="E2" s="20">
        <v>21</v>
      </c>
      <c r="F2" s="20" t="s">
        <v>482</v>
      </c>
      <c r="G2" s="20">
        <v>1</v>
      </c>
      <c r="H2" s="20">
        <v>1</v>
      </c>
      <c r="I2" s="27" t="s">
        <v>481</v>
      </c>
      <c r="J2" s="20">
        <v>100</v>
      </c>
      <c r="K2" s="20" t="s">
        <v>480</v>
      </c>
      <c r="L2" s="20" t="s">
        <v>479</v>
      </c>
      <c r="M2" s="24" t="s">
        <v>478</v>
      </c>
      <c r="N2" s="20" t="s">
        <v>477</v>
      </c>
      <c r="O2" s="26" t="s">
        <v>428</v>
      </c>
      <c r="P2" s="27" t="s">
        <v>476</v>
      </c>
      <c r="Q2" s="25" t="s">
        <v>164</v>
      </c>
      <c r="R2" s="20">
        <v>12</v>
      </c>
      <c r="S2" s="20" t="s">
        <v>475</v>
      </c>
      <c r="T2" s="20" t="s">
        <v>437</v>
      </c>
      <c r="U2" s="20" t="s">
        <v>5</v>
      </c>
    </row>
    <row r="3" spans="1:21" x14ac:dyDescent="0.15">
      <c r="A3" s="20" t="s">
        <v>474</v>
      </c>
      <c r="B3" s="20" t="s">
        <v>473</v>
      </c>
      <c r="C3" s="20" t="s">
        <v>472</v>
      </c>
      <c r="D3" s="20" t="s">
        <v>176</v>
      </c>
      <c r="E3" s="20">
        <v>22</v>
      </c>
      <c r="F3" s="20" t="s">
        <v>471</v>
      </c>
      <c r="G3" s="20">
        <v>2</v>
      </c>
      <c r="H3" s="20">
        <v>2</v>
      </c>
      <c r="J3" s="20">
        <v>125</v>
      </c>
      <c r="K3" s="20" t="s">
        <v>470</v>
      </c>
      <c r="L3" s="20" t="s">
        <v>469</v>
      </c>
      <c r="M3" s="24" t="s">
        <v>433</v>
      </c>
      <c r="N3" s="20" t="s">
        <v>468</v>
      </c>
      <c r="O3" s="26" t="s">
        <v>467</v>
      </c>
      <c r="Q3" s="25" t="s">
        <v>175</v>
      </c>
      <c r="R3" s="20">
        <v>13</v>
      </c>
      <c r="T3" s="20" t="s">
        <v>436</v>
      </c>
    </row>
    <row r="4" spans="1:21" x14ac:dyDescent="0.15">
      <c r="A4" s="20" t="s">
        <v>466</v>
      </c>
      <c r="C4" s="20" t="s">
        <v>465</v>
      </c>
      <c r="D4" s="20" t="s">
        <v>154</v>
      </c>
      <c r="E4" s="20">
        <v>23</v>
      </c>
      <c r="G4" s="20">
        <v>3</v>
      </c>
      <c r="H4" s="20">
        <v>3</v>
      </c>
      <c r="J4" s="20">
        <v>165</v>
      </c>
      <c r="K4" s="20" t="s">
        <v>464</v>
      </c>
      <c r="L4" s="20" t="s">
        <v>463</v>
      </c>
      <c r="M4" s="24" t="s">
        <v>432</v>
      </c>
      <c r="N4" s="20" t="s">
        <v>462</v>
      </c>
      <c r="Q4" s="25" t="s">
        <v>184</v>
      </c>
      <c r="R4" s="20">
        <v>14</v>
      </c>
    </row>
    <row r="5" spans="1:21" x14ac:dyDescent="0.15">
      <c r="A5" s="20" t="s">
        <v>20</v>
      </c>
      <c r="C5" s="20" t="s">
        <v>461</v>
      </c>
      <c r="E5" s="20">
        <v>24</v>
      </c>
      <c r="G5" s="20">
        <v>4</v>
      </c>
      <c r="H5" s="20">
        <v>4</v>
      </c>
      <c r="L5" s="20" t="s">
        <v>460</v>
      </c>
      <c r="M5" s="24" t="s">
        <v>431</v>
      </c>
      <c r="N5" s="20" t="s">
        <v>459</v>
      </c>
      <c r="Q5" s="25" t="s">
        <v>194</v>
      </c>
      <c r="R5" s="20">
        <v>15</v>
      </c>
    </row>
    <row r="6" spans="1:21" x14ac:dyDescent="0.15">
      <c r="C6" s="20" t="s">
        <v>458</v>
      </c>
      <c r="E6" s="20">
        <v>25</v>
      </c>
      <c r="G6" s="20">
        <v>5</v>
      </c>
      <c r="H6" s="20">
        <v>5</v>
      </c>
      <c r="L6" s="20" t="s">
        <v>457</v>
      </c>
      <c r="M6" s="24" t="s">
        <v>456</v>
      </c>
      <c r="N6" s="20" t="s">
        <v>455</v>
      </c>
      <c r="Q6" s="25"/>
      <c r="R6" s="20">
        <v>16</v>
      </c>
    </row>
    <row r="7" spans="1:21" x14ac:dyDescent="0.15">
      <c r="E7" s="20">
        <v>26</v>
      </c>
      <c r="G7" s="20">
        <v>6</v>
      </c>
      <c r="H7" s="20">
        <v>6</v>
      </c>
      <c r="L7" s="20" t="s">
        <v>454</v>
      </c>
      <c r="M7" s="24" t="s">
        <v>430</v>
      </c>
      <c r="N7" s="20" t="s">
        <v>453</v>
      </c>
      <c r="R7" s="20">
        <v>17</v>
      </c>
    </row>
    <row r="8" spans="1:21" x14ac:dyDescent="0.15">
      <c r="E8" s="20">
        <v>27</v>
      </c>
      <c r="G8" s="20">
        <v>7</v>
      </c>
      <c r="H8" s="20">
        <v>7</v>
      </c>
      <c r="L8" s="20" t="s">
        <v>452</v>
      </c>
      <c r="M8" s="24" t="s">
        <v>429</v>
      </c>
      <c r="N8" s="20" t="s">
        <v>451</v>
      </c>
      <c r="R8" s="20">
        <v>18</v>
      </c>
    </row>
    <row r="9" spans="1:21" x14ac:dyDescent="0.15">
      <c r="E9" s="20">
        <v>28</v>
      </c>
      <c r="G9" s="20">
        <v>8</v>
      </c>
      <c r="H9" s="20">
        <v>8</v>
      </c>
      <c r="L9" s="20" t="s">
        <v>450</v>
      </c>
      <c r="M9" s="24" t="s">
        <v>449</v>
      </c>
      <c r="N9" s="20" t="s">
        <v>448</v>
      </c>
      <c r="R9" s="20">
        <v>19</v>
      </c>
    </row>
    <row r="10" spans="1:21" x14ac:dyDescent="0.15">
      <c r="E10" s="20">
        <v>29</v>
      </c>
      <c r="G10" s="20">
        <v>9</v>
      </c>
      <c r="H10" s="20">
        <v>9</v>
      </c>
      <c r="L10" s="20" t="s">
        <v>447</v>
      </c>
      <c r="M10" s="24" t="s">
        <v>427</v>
      </c>
      <c r="N10" s="20" t="s">
        <v>446</v>
      </c>
      <c r="R10" s="20">
        <v>20</v>
      </c>
    </row>
    <row r="11" spans="1:21" x14ac:dyDescent="0.15">
      <c r="E11" s="20">
        <v>30</v>
      </c>
      <c r="G11" s="20">
        <v>10</v>
      </c>
      <c r="H11" s="20">
        <v>10</v>
      </c>
      <c r="L11" s="20" t="s">
        <v>445</v>
      </c>
      <c r="M11" s="24" t="s">
        <v>444</v>
      </c>
      <c r="N11" s="20" t="s">
        <v>443</v>
      </c>
      <c r="R11" s="20">
        <v>21</v>
      </c>
    </row>
    <row r="12" spans="1:21" x14ac:dyDescent="0.15">
      <c r="E12" s="20">
        <v>31</v>
      </c>
      <c r="G12" s="20">
        <v>11</v>
      </c>
      <c r="H12" s="20">
        <v>11</v>
      </c>
      <c r="L12" s="20" t="s">
        <v>442</v>
      </c>
      <c r="M12" s="24" t="s">
        <v>441</v>
      </c>
      <c r="N12" s="20" t="s">
        <v>440</v>
      </c>
      <c r="R12" s="20">
        <v>22</v>
      </c>
    </row>
    <row r="13" spans="1:21" x14ac:dyDescent="0.15">
      <c r="E13" s="20">
        <v>1</v>
      </c>
      <c r="G13" s="20">
        <v>12</v>
      </c>
      <c r="H13" s="20">
        <v>12</v>
      </c>
      <c r="L13" s="20" t="s">
        <v>133</v>
      </c>
      <c r="M13" s="24" t="s">
        <v>426</v>
      </c>
      <c r="R13" s="20">
        <v>23</v>
      </c>
    </row>
    <row r="14" spans="1:21" x14ac:dyDescent="0.15">
      <c r="E14" s="20">
        <v>2</v>
      </c>
      <c r="G14" s="20">
        <v>13</v>
      </c>
      <c r="M14" s="24" t="s">
        <v>439</v>
      </c>
      <c r="R14" s="20">
        <v>24</v>
      </c>
    </row>
    <row r="15" spans="1:21" x14ac:dyDescent="0.15">
      <c r="E15" s="20">
        <v>3</v>
      </c>
      <c r="G15" s="20">
        <v>14</v>
      </c>
      <c r="M15" s="24" t="s">
        <v>425</v>
      </c>
      <c r="R15" s="20">
        <v>25</v>
      </c>
    </row>
    <row r="16" spans="1:21" x14ac:dyDescent="0.15">
      <c r="E16" s="20">
        <v>4</v>
      </c>
      <c r="G16" s="20">
        <v>15</v>
      </c>
      <c r="M16" s="24" t="s">
        <v>424</v>
      </c>
      <c r="R16" s="20">
        <v>26</v>
      </c>
    </row>
    <row r="17" spans="5:18" x14ac:dyDescent="0.15">
      <c r="E17" s="20">
        <v>5</v>
      </c>
      <c r="G17" s="20">
        <v>16</v>
      </c>
      <c r="M17" s="24" t="s">
        <v>423</v>
      </c>
      <c r="R17" s="20">
        <v>27</v>
      </c>
    </row>
    <row r="18" spans="5:18" x14ac:dyDescent="0.15">
      <c r="E18" s="20">
        <v>6</v>
      </c>
      <c r="G18" s="20">
        <v>17</v>
      </c>
      <c r="M18" s="24" t="s">
        <v>422</v>
      </c>
      <c r="R18" s="20">
        <v>28</v>
      </c>
    </row>
    <row r="19" spans="5:18" x14ac:dyDescent="0.15">
      <c r="E19" s="20">
        <v>7</v>
      </c>
      <c r="G19" s="20">
        <v>18</v>
      </c>
      <c r="M19" s="24" t="s">
        <v>421</v>
      </c>
      <c r="R19" s="20">
        <v>29</v>
      </c>
    </row>
    <row r="20" spans="5:18" x14ac:dyDescent="0.15">
      <c r="E20" s="20">
        <v>8</v>
      </c>
      <c r="G20" s="20">
        <v>19</v>
      </c>
      <c r="M20" s="24" t="s">
        <v>420</v>
      </c>
      <c r="R20" s="20">
        <v>30</v>
      </c>
    </row>
    <row r="21" spans="5:18" x14ac:dyDescent="0.15">
      <c r="E21" s="20">
        <v>9</v>
      </c>
      <c r="G21" s="20">
        <v>20</v>
      </c>
      <c r="R21" s="20">
        <v>31</v>
      </c>
    </row>
    <row r="22" spans="5:18" x14ac:dyDescent="0.15">
      <c r="E22" s="20">
        <v>10</v>
      </c>
      <c r="G22" s="20">
        <v>21</v>
      </c>
      <c r="R22" s="20">
        <v>32</v>
      </c>
    </row>
    <row r="23" spans="5:18" x14ac:dyDescent="0.15">
      <c r="G23" s="20">
        <v>22</v>
      </c>
      <c r="R23" s="20">
        <v>33</v>
      </c>
    </row>
    <row r="24" spans="5:18" x14ac:dyDescent="0.15">
      <c r="G24" s="20">
        <v>23</v>
      </c>
      <c r="R24" s="20">
        <v>34</v>
      </c>
    </row>
    <row r="25" spans="5:18" x14ac:dyDescent="0.15">
      <c r="G25" s="20">
        <v>24</v>
      </c>
      <c r="R25" s="20">
        <v>35</v>
      </c>
    </row>
    <row r="26" spans="5:18" x14ac:dyDescent="0.15">
      <c r="G26" s="20">
        <v>25</v>
      </c>
      <c r="R26" s="20">
        <v>36</v>
      </c>
    </row>
    <row r="27" spans="5:18" x14ac:dyDescent="0.15">
      <c r="G27" s="20">
        <v>26</v>
      </c>
      <c r="R27" s="20">
        <v>37</v>
      </c>
    </row>
    <row r="28" spans="5:18" x14ac:dyDescent="0.15">
      <c r="G28" s="20">
        <v>27</v>
      </c>
      <c r="R28" s="20">
        <v>38</v>
      </c>
    </row>
    <row r="29" spans="5:18" x14ac:dyDescent="0.15">
      <c r="G29" s="20">
        <v>28</v>
      </c>
      <c r="R29" s="20">
        <v>39</v>
      </c>
    </row>
    <row r="30" spans="5:18" x14ac:dyDescent="0.15">
      <c r="G30" s="20">
        <v>29</v>
      </c>
      <c r="R30" s="20">
        <v>40</v>
      </c>
    </row>
    <row r="31" spans="5:18" x14ac:dyDescent="0.15">
      <c r="G31" s="20">
        <v>30</v>
      </c>
      <c r="R31" s="20">
        <v>41</v>
      </c>
    </row>
    <row r="32" spans="5:18" x14ac:dyDescent="0.15">
      <c r="G32" s="20">
        <v>31</v>
      </c>
      <c r="R32" s="20">
        <v>42</v>
      </c>
    </row>
    <row r="33" spans="18:18" x14ac:dyDescent="0.15">
      <c r="R33" s="20">
        <v>43</v>
      </c>
    </row>
    <row r="34" spans="18:18" x14ac:dyDescent="0.15">
      <c r="R34" s="20">
        <v>44</v>
      </c>
    </row>
    <row r="35" spans="18:18" x14ac:dyDescent="0.15">
      <c r="R35" s="20">
        <v>45</v>
      </c>
    </row>
    <row r="36" spans="18:18" x14ac:dyDescent="0.15">
      <c r="R36" s="20">
        <v>46</v>
      </c>
    </row>
    <row r="37" spans="18:18" x14ac:dyDescent="0.15">
      <c r="R37" s="20">
        <v>99</v>
      </c>
    </row>
  </sheetData>
  <phoneticPr fontId="41"/>
  <hyperlinks>
    <hyperlink ref="A1" location="トップ!A1" display="トップ" xr:uid="{00000000-0004-0000-0600-000000000000}"/>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C99"/>
  </sheetPr>
  <dimension ref="A1:P53"/>
  <sheetViews>
    <sheetView tabSelected="1" view="pageBreakPreview" zoomScaleNormal="100" zoomScaleSheetLayoutView="100" workbookViewId="0">
      <selection activeCell="N19" sqref="N19"/>
    </sheetView>
  </sheetViews>
  <sheetFormatPr defaultColWidth="9" defaultRowHeight="13.5" x14ac:dyDescent="0.15"/>
  <cols>
    <col min="1" max="1" width="4.375" style="283" customWidth="1"/>
    <col min="2" max="2" width="4.625" style="283" customWidth="1"/>
    <col min="3" max="5" width="9" style="283" customWidth="1"/>
    <col min="6" max="7" width="5.375" style="283" customWidth="1"/>
    <col min="8" max="8" width="4" style="283" customWidth="1"/>
    <col min="9" max="9" width="9" style="283" customWidth="1"/>
    <col min="10" max="10" width="4.375" style="283" customWidth="1"/>
    <col min="11" max="11" width="3.875" style="283" customWidth="1"/>
    <col min="12" max="12" width="4.375" style="283" customWidth="1"/>
    <col min="13" max="13" width="3.875" style="283" customWidth="1"/>
    <col min="14" max="14" width="4.375" style="283" customWidth="1"/>
    <col min="15" max="15" width="3.875" style="283" customWidth="1"/>
    <col min="16" max="17" width="9" style="283" customWidth="1"/>
    <col min="18" max="16384" width="9" style="283"/>
  </cols>
  <sheetData>
    <row r="1" spans="1:16" ht="16.5" customHeight="1" x14ac:dyDescent="0.15">
      <c r="A1" s="302" t="s">
        <v>2836</v>
      </c>
      <c r="B1" s="302"/>
      <c r="C1" s="302"/>
      <c r="D1" s="302"/>
      <c r="E1" s="302"/>
      <c r="F1" s="302"/>
      <c r="G1" s="302"/>
      <c r="H1" s="302"/>
      <c r="I1" s="302"/>
      <c r="J1" s="302"/>
      <c r="K1" s="302"/>
      <c r="L1" s="302"/>
      <c r="M1" s="302"/>
      <c r="N1" s="302"/>
      <c r="O1" s="302"/>
    </row>
    <row r="2" spans="1:16" ht="16.5" customHeight="1" x14ac:dyDescent="0.15">
      <c r="A2" s="302"/>
      <c r="B2" s="302"/>
      <c r="C2" s="302"/>
      <c r="D2" s="302"/>
      <c r="E2" s="302"/>
      <c r="F2" s="302"/>
      <c r="G2" s="302"/>
      <c r="H2" s="302"/>
      <c r="I2" s="302"/>
      <c r="J2" s="302"/>
      <c r="K2" s="302"/>
      <c r="L2" s="302"/>
      <c r="M2" s="302"/>
      <c r="N2" s="302"/>
      <c r="O2" s="302"/>
    </row>
    <row r="3" spans="1:16" ht="12.75" customHeight="1" x14ac:dyDescent="0.15">
      <c r="A3" s="289"/>
      <c r="B3" s="289"/>
      <c r="C3" s="289"/>
      <c r="D3" s="289"/>
      <c r="E3" s="289"/>
      <c r="F3" s="289"/>
      <c r="G3" s="289"/>
      <c r="H3" s="289"/>
      <c r="I3" s="289"/>
      <c r="J3" s="289"/>
      <c r="K3" s="289"/>
      <c r="L3" s="289"/>
      <c r="M3" s="289"/>
      <c r="N3" s="289"/>
      <c r="O3" s="289"/>
    </row>
    <row r="4" spans="1:16" ht="18" customHeight="1" x14ac:dyDescent="0.15">
      <c r="I4" s="284" t="s">
        <v>2415</v>
      </c>
      <c r="J4" s="304"/>
      <c r="K4" s="292" t="s">
        <v>380</v>
      </c>
      <c r="L4" s="304"/>
      <c r="M4" s="292" t="s">
        <v>4</v>
      </c>
      <c r="N4" s="304"/>
      <c r="O4" s="292" t="s">
        <v>381</v>
      </c>
    </row>
    <row r="6" spans="1:16" x14ac:dyDescent="0.15">
      <c r="D6" s="290"/>
      <c r="E6" s="283" t="s">
        <v>2837</v>
      </c>
      <c r="I6" s="290"/>
    </row>
    <row r="7" spans="1:16" ht="6" customHeight="1" x14ac:dyDescent="0.15"/>
    <row r="8" spans="1:16" ht="18" customHeight="1" x14ac:dyDescent="0.15">
      <c r="E8" s="311" t="s">
        <v>2830</v>
      </c>
      <c r="F8" s="305"/>
      <c r="G8" s="305"/>
      <c r="H8" s="306"/>
      <c r="I8" s="306"/>
      <c r="J8" s="306"/>
      <c r="K8" s="306"/>
      <c r="L8" s="306"/>
      <c r="M8" s="306"/>
      <c r="N8" s="306"/>
      <c r="O8" s="306"/>
    </row>
    <row r="9" spans="1:16" ht="18" customHeight="1" x14ac:dyDescent="0.15">
      <c r="E9" s="292"/>
      <c r="F9" s="306"/>
      <c r="G9" s="306"/>
      <c r="H9" s="306"/>
      <c r="I9" s="306"/>
      <c r="J9" s="306"/>
      <c r="K9" s="306"/>
      <c r="L9" s="306"/>
      <c r="M9" s="306"/>
      <c r="N9" s="306"/>
      <c r="O9" s="306"/>
    </row>
    <row r="10" spans="1:16" ht="17.25" customHeight="1" x14ac:dyDescent="0.15">
      <c r="E10" s="292" t="s">
        <v>2838</v>
      </c>
      <c r="F10" s="307"/>
      <c r="G10" s="299"/>
      <c r="H10" s="299"/>
      <c r="I10" s="299"/>
      <c r="J10" s="299"/>
      <c r="K10" s="299"/>
      <c r="L10" s="299"/>
      <c r="M10" s="299"/>
      <c r="N10" s="299"/>
    </row>
    <row r="11" spans="1:16" ht="18" customHeight="1" x14ac:dyDescent="0.15">
      <c r="F11" s="308"/>
      <c r="G11" s="300"/>
      <c r="H11" s="300"/>
      <c r="I11" s="300"/>
      <c r="J11" s="300"/>
      <c r="K11" s="300"/>
      <c r="L11" s="300"/>
      <c r="M11" s="300"/>
      <c r="N11" s="300"/>
      <c r="O11" s="292"/>
    </row>
    <row r="12" spans="1:16" x14ac:dyDescent="0.15">
      <c r="C12" s="286"/>
      <c r="D12" s="286"/>
      <c r="E12" s="286"/>
      <c r="F12" s="286"/>
    </row>
    <row r="13" spans="1:16" ht="18" customHeight="1" x14ac:dyDescent="0.15">
      <c r="A13" s="303" t="s">
        <v>2863</v>
      </c>
      <c r="B13" s="303"/>
      <c r="C13" s="303"/>
      <c r="D13" s="303"/>
      <c r="E13" s="303"/>
      <c r="F13" s="303"/>
      <c r="G13" s="303"/>
      <c r="H13" s="303"/>
      <c r="I13" s="303"/>
      <c r="J13" s="303"/>
      <c r="K13" s="303"/>
      <c r="L13" s="303"/>
      <c r="M13" s="303"/>
      <c r="N13" s="303"/>
      <c r="O13" s="303"/>
      <c r="P13" s="287"/>
    </row>
    <row r="14" spans="1:16" ht="18" customHeight="1" x14ac:dyDescent="0.15">
      <c r="A14" s="283" t="s">
        <v>2862</v>
      </c>
      <c r="B14" s="287"/>
      <c r="C14" s="287"/>
      <c r="D14" s="287"/>
      <c r="E14" s="287"/>
      <c r="F14" s="287"/>
      <c r="G14" s="287"/>
      <c r="H14" s="287"/>
      <c r="I14" s="287"/>
      <c r="J14" s="287"/>
      <c r="K14" s="287"/>
      <c r="L14" s="287"/>
      <c r="M14" s="287"/>
    </row>
    <row r="16" spans="1:16" ht="18" customHeight="1" x14ac:dyDescent="0.15">
      <c r="A16" s="301" t="s">
        <v>0</v>
      </c>
      <c r="B16" s="301"/>
      <c r="C16" s="301"/>
      <c r="D16" s="301"/>
      <c r="E16" s="301"/>
      <c r="F16" s="301"/>
      <c r="G16" s="301"/>
      <c r="H16" s="301"/>
      <c r="I16" s="301"/>
      <c r="J16" s="301"/>
      <c r="K16" s="301"/>
      <c r="L16" s="301"/>
      <c r="M16" s="301"/>
      <c r="N16" s="301"/>
      <c r="O16" s="301"/>
    </row>
    <row r="17" spans="1:16" x14ac:dyDescent="0.15">
      <c r="A17" s="292"/>
      <c r="B17" s="292"/>
      <c r="C17" s="292"/>
      <c r="D17" s="292"/>
      <c r="E17" s="292"/>
      <c r="F17" s="292"/>
      <c r="G17" s="292"/>
      <c r="H17" s="292"/>
      <c r="I17" s="292"/>
      <c r="J17" s="292"/>
      <c r="K17" s="292"/>
      <c r="L17" s="292"/>
      <c r="M17" s="292"/>
      <c r="N17" s="292"/>
      <c r="O17" s="292"/>
      <c r="P17" s="288"/>
    </row>
    <row r="18" spans="1:16" ht="18" customHeight="1" x14ac:dyDescent="0.15">
      <c r="A18" s="283" t="s">
        <v>2839</v>
      </c>
      <c r="D18" s="290"/>
    </row>
    <row r="19" spans="1:16" ht="18" customHeight="1" x14ac:dyDescent="0.15">
      <c r="B19" s="304" t="s">
        <v>42</v>
      </c>
      <c r="C19" s="283" t="s">
        <v>2840</v>
      </c>
    </row>
    <row r="20" spans="1:16" ht="18" customHeight="1" x14ac:dyDescent="0.15">
      <c r="B20" s="304" t="s">
        <v>42</v>
      </c>
      <c r="C20" s="283" t="s">
        <v>1</v>
      </c>
    </row>
    <row r="21" spans="1:16" ht="18" customHeight="1" x14ac:dyDescent="0.15">
      <c r="B21" s="304" t="s">
        <v>42</v>
      </c>
      <c r="C21" s="283" t="s">
        <v>2</v>
      </c>
    </row>
    <row r="22" spans="1:16" ht="18" customHeight="1" x14ac:dyDescent="0.15">
      <c r="B22" s="304" t="s">
        <v>42</v>
      </c>
      <c r="C22" s="283" t="s">
        <v>2676</v>
      </c>
    </row>
    <row r="23" spans="1:16" ht="18" customHeight="1" x14ac:dyDescent="0.15">
      <c r="B23" s="304" t="s">
        <v>42</v>
      </c>
      <c r="C23" s="283" t="s">
        <v>2831</v>
      </c>
    </row>
    <row r="24" spans="1:16" ht="18" customHeight="1" x14ac:dyDescent="0.15">
      <c r="B24" s="304" t="s">
        <v>42</v>
      </c>
      <c r="C24" s="283" t="s">
        <v>2765</v>
      </c>
    </row>
    <row r="25" spans="1:16" ht="18" customHeight="1" x14ac:dyDescent="0.15">
      <c r="B25" s="304" t="s">
        <v>42</v>
      </c>
      <c r="C25" s="283" t="s">
        <v>2841</v>
      </c>
    </row>
    <row r="26" spans="1:16" ht="18" customHeight="1" x14ac:dyDescent="0.15">
      <c r="B26" s="304" t="s">
        <v>42</v>
      </c>
      <c r="C26" s="283" t="s">
        <v>2842</v>
      </c>
    </row>
    <row r="27" spans="1:16" ht="18" customHeight="1" x14ac:dyDescent="0.15">
      <c r="B27" s="304" t="s">
        <v>42</v>
      </c>
      <c r="C27" s="283" t="s">
        <v>2777</v>
      </c>
    </row>
    <row r="28" spans="1:16" ht="18" customHeight="1" x14ac:dyDescent="0.15">
      <c r="B28" s="304" t="s">
        <v>42</v>
      </c>
      <c r="C28" s="283" t="s">
        <v>2843</v>
      </c>
    </row>
    <row r="29" spans="1:16" ht="18" customHeight="1" x14ac:dyDescent="0.15">
      <c r="B29" s="304" t="s">
        <v>42</v>
      </c>
      <c r="C29" s="283" t="s">
        <v>2844</v>
      </c>
    </row>
    <row r="30" spans="1:16" ht="18" customHeight="1" x14ac:dyDescent="0.15">
      <c r="B30" s="304" t="s">
        <v>42</v>
      </c>
      <c r="C30" s="283" t="s">
        <v>2845</v>
      </c>
    </row>
    <row r="31" spans="1:16" ht="18" customHeight="1" x14ac:dyDescent="0.15">
      <c r="B31" s="304" t="s">
        <v>42</v>
      </c>
      <c r="C31" s="283" t="s">
        <v>2846</v>
      </c>
    </row>
    <row r="32" spans="1:16" ht="18" customHeight="1" x14ac:dyDescent="0.15">
      <c r="B32" s="304" t="s">
        <v>42</v>
      </c>
      <c r="C32" s="283" t="s">
        <v>2847</v>
      </c>
    </row>
    <row r="33" spans="1:15" ht="18" customHeight="1" x14ac:dyDescent="0.15">
      <c r="B33" s="304" t="s">
        <v>42</v>
      </c>
      <c r="C33" s="283" t="s">
        <v>2848</v>
      </c>
    </row>
    <row r="34" spans="1:15" ht="18" customHeight="1" x14ac:dyDescent="0.15">
      <c r="B34" s="304" t="s">
        <v>42</v>
      </c>
      <c r="C34" s="283" t="s">
        <v>2849</v>
      </c>
    </row>
    <row r="36" spans="1:15" s="290" customFormat="1" ht="18" customHeight="1" x14ac:dyDescent="0.15">
      <c r="A36" s="283" t="s">
        <v>2850</v>
      </c>
      <c r="B36" s="283"/>
      <c r="C36" s="283"/>
      <c r="D36" s="283"/>
      <c r="E36" s="283"/>
      <c r="F36" s="283"/>
      <c r="G36" s="283"/>
    </row>
    <row r="37" spans="1:15" ht="18" customHeight="1" x14ac:dyDescent="0.15">
      <c r="B37" s="305"/>
      <c r="C37" s="305"/>
      <c r="D37" s="305"/>
      <c r="E37" s="305"/>
      <c r="F37" s="305"/>
      <c r="G37" s="305"/>
      <c r="H37" s="305"/>
      <c r="I37" s="305"/>
      <c r="J37" s="305"/>
      <c r="K37" s="305"/>
      <c r="L37" s="305"/>
      <c r="M37" s="305"/>
      <c r="N37" s="305"/>
      <c r="O37" s="305"/>
    </row>
    <row r="38" spans="1:15" ht="18" customHeight="1" x14ac:dyDescent="0.15">
      <c r="B38" s="305"/>
      <c r="C38" s="305"/>
      <c r="D38" s="305"/>
      <c r="E38" s="305"/>
      <c r="F38" s="305"/>
      <c r="G38" s="305"/>
      <c r="H38" s="305"/>
      <c r="I38" s="305"/>
      <c r="J38" s="305"/>
      <c r="K38" s="305"/>
      <c r="L38" s="305"/>
      <c r="M38" s="305"/>
      <c r="N38" s="305"/>
      <c r="O38" s="305"/>
    </row>
    <row r="40" spans="1:15" s="290" customFormat="1" ht="18" customHeight="1" x14ac:dyDescent="0.15">
      <c r="A40" s="283" t="s">
        <v>2851</v>
      </c>
      <c r="B40" s="283"/>
      <c r="C40" s="283"/>
      <c r="D40" s="283"/>
    </row>
    <row r="41" spans="1:15" ht="22.5" customHeight="1" x14ac:dyDescent="0.15">
      <c r="B41" s="305"/>
      <c r="C41" s="305"/>
      <c r="D41" s="305"/>
      <c r="E41" s="305"/>
      <c r="F41" s="305"/>
      <c r="G41" s="305"/>
      <c r="H41" s="305"/>
      <c r="I41" s="305"/>
      <c r="J41" s="305"/>
      <c r="K41" s="305"/>
      <c r="L41" s="305"/>
      <c r="M41" s="305"/>
      <c r="N41" s="305"/>
      <c r="O41" s="305"/>
    </row>
    <row r="43" spans="1:15" x14ac:dyDescent="0.15">
      <c r="E43" s="283" t="s">
        <v>2852</v>
      </c>
    </row>
    <row r="44" spans="1:15" ht="6" customHeight="1" x14ac:dyDescent="0.15"/>
    <row r="45" spans="1:15" ht="18" customHeight="1" x14ac:dyDescent="0.15">
      <c r="E45" s="285" t="s">
        <v>2830</v>
      </c>
      <c r="F45" s="305"/>
      <c r="G45" s="305"/>
      <c r="H45" s="306"/>
      <c r="I45" s="306"/>
      <c r="J45" s="306"/>
      <c r="K45" s="306"/>
      <c r="L45" s="306"/>
      <c r="M45" s="306"/>
      <c r="N45" s="306"/>
      <c r="O45" s="306"/>
    </row>
    <row r="46" spans="1:15" ht="18" customHeight="1" x14ac:dyDescent="0.15">
      <c r="F46" s="306"/>
      <c r="G46" s="306"/>
      <c r="H46" s="306"/>
      <c r="I46" s="306"/>
      <c r="J46" s="306"/>
      <c r="K46" s="306"/>
      <c r="L46" s="306"/>
      <c r="M46" s="306"/>
      <c r="N46" s="306"/>
      <c r="O46" s="306"/>
    </row>
    <row r="47" spans="1:15" ht="18" customHeight="1" x14ac:dyDescent="0.15">
      <c r="E47" s="294" t="s">
        <v>2838</v>
      </c>
      <c r="F47" s="307"/>
      <c r="G47" s="299"/>
      <c r="H47" s="299"/>
      <c r="I47" s="299"/>
      <c r="J47" s="299"/>
      <c r="K47" s="299"/>
      <c r="L47" s="299"/>
      <c r="M47" s="299"/>
      <c r="N47" s="299"/>
    </row>
    <row r="48" spans="1:15" ht="18" customHeight="1" x14ac:dyDescent="0.15">
      <c r="F48" s="308"/>
      <c r="G48" s="300"/>
      <c r="H48" s="300"/>
      <c r="I48" s="300"/>
      <c r="J48" s="300"/>
      <c r="K48" s="300"/>
      <c r="L48" s="300"/>
      <c r="M48" s="300"/>
      <c r="N48" s="300"/>
      <c r="O48" s="292"/>
    </row>
    <row r="49" spans="5:15" ht="9.9499999999999993" customHeight="1" x14ac:dyDescent="0.15">
      <c r="F49" s="291"/>
      <c r="G49" s="293"/>
      <c r="H49" s="293"/>
      <c r="I49" s="293"/>
      <c r="J49" s="293"/>
      <c r="K49" s="293"/>
      <c r="L49" s="293"/>
      <c r="M49" s="293"/>
      <c r="N49" s="293"/>
      <c r="O49" s="292"/>
    </row>
    <row r="50" spans="5:15" ht="18" customHeight="1" x14ac:dyDescent="0.15">
      <c r="E50" s="285" t="str">
        <f>IF(AND(F52="",F53=""),"","住　所")</f>
        <v/>
      </c>
      <c r="F50" s="309"/>
      <c r="G50" s="309"/>
      <c r="H50" s="309"/>
      <c r="I50" s="309"/>
      <c r="J50" s="309"/>
      <c r="K50" s="309"/>
      <c r="L50" s="309"/>
      <c r="M50" s="309"/>
      <c r="N50" s="309"/>
      <c r="O50" s="309"/>
    </row>
    <row r="51" spans="5:15" ht="18" customHeight="1" x14ac:dyDescent="0.15">
      <c r="F51" s="309"/>
      <c r="G51" s="309"/>
      <c r="H51" s="309"/>
      <c r="I51" s="309"/>
      <c r="J51" s="309"/>
      <c r="K51" s="309"/>
      <c r="L51" s="309"/>
      <c r="M51" s="309"/>
      <c r="N51" s="309"/>
      <c r="O51" s="309"/>
    </row>
    <row r="52" spans="5:15" ht="18" customHeight="1" x14ac:dyDescent="0.15">
      <c r="E52" s="294" t="str">
        <f>IF(AND(F52="",F53=""),"","氏　名")</f>
        <v/>
      </c>
      <c r="F52" s="303"/>
      <c r="G52" s="303"/>
      <c r="H52" s="303"/>
      <c r="I52" s="303"/>
      <c r="J52" s="303"/>
      <c r="K52" s="303"/>
      <c r="L52" s="303"/>
      <c r="M52" s="303"/>
      <c r="N52" s="303"/>
      <c r="O52" s="292"/>
    </row>
    <row r="53" spans="5:15" ht="18" customHeight="1" x14ac:dyDescent="0.15">
      <c r="E53" s="294"/>
      <c r="F53" s="310"/>
      <c r="G53" s="310"/>
      <c r="H53" s="310"/>
      <c r="I53" s="310"/>
      <c r="J53" s="310"/>
      <c r="K53" s="310"/>
      <c r="L53" s="310"/>
      <c r="M53" s="310"/>
      <c r="N53" s="310"/>
      <c r="O53" s="292" t="str">
        <f>IF(AND(F52="",F53=""),"","印")</f>
        <v/>
      </c>
    </row>
  </sheetData>
  <sheetProtection formatCells="0" formatColumns="0" formatRows="0" insertColumns="0" insertRows="0"/>
  <mergeCells count="14">
    <mergeCell ref="A16:O16"/>
    <mergeCell ref="A1:O2"/>
    <mergeCell ref="F8:O9"/>
    <mergeCell ref="F10:N10"/>
    <mergeCell ref="F11:N11"/>
    <mergeCell ref="A13:O13"/>
    <mergeCell ref="F52:N52"/>
    <mergeCell ref="F53:N53"/>
    <mergeCell ref="B37:O38"/>
    <mergeCell ref="B41:O41"/>
    <mergeCell ref="F45:O46"/>
    <mergeCell ref="F47:N47"/>
    <mergeCell ref="F48:N48"/>
    <mergeCell ref="F50:O51"/>
  </mergeCells>
  <phoneticPr fontId="41"/>
  <dataValidations count="1">
    <dataValidation type="list" allowBlank="1" showInputMessage="1" showErrorMessage="1" sqref="B19:B34" xr:uid="{00000000-0002-0000-0700-000000000000}">
      <formula1>"□,■"</formula1>
    </dataValidation>
  </dataValidations>
  <printOptions horizontalCentered="1"/>
  <pageMargins left="0.78740157480314965" right="0.78740157480314965" top="0.86614173228346458" bottom="0.47244094488188981" header="0.31496062992125984" footer="0.31496062992125984"/>
  <pageSetup paperSize="9" orientation="portrait" blackAndWhite="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7"/>
  <sheetViews>
    <sheetView workbookViewId="0">
      <selection activeCell="A2" sqref="A2"/>
    </sheetView>
  </sheetViews>
  <sheetFormatPr defaultColWidth="9" defaultRowHeight="14.25" x14ac:dyDescent="0.15"/>
  <cols>
    <col min="1" max="1" width="5.375" style="2" customWidth="1"/>
    <col min="2" max="2" width="3.125" style="2" customWidth="1"/>
    <col min="3" max="3" width="9" style="2" customWidth="1"/>
    <col min="4" max="16384" width="9" style="2"/>
  </cols>
  <sheetData>
    <row r="1" spans="1:3" x14ac:dyDescent="0.15">
      <c r="A1" s="2" t="s">
        <v>36</v>
      </c>
    </row>
    <row r="3" spans="1:3" x14ac:dyDescent="0.15">
      <c r="B3" s="3"/>
      <c r="C3" s="2" t="s">
        <v>37</v>
      </c>
    </row>
    <row r="4" spans="1:3" ht="6.75" customHeight="1" x14ac:dyDescent="0.15"/>
    <row r="5" spans="1:3" x14ac:dyDescent="0.15">
      <c r="B5" s="4" t="s">
        <v>43</v>
      </c>
      <c r="C5" s="2" t="s">
        <v>38</v>
      </c>
    </row>
    <row r="6" spans="1:3" ht="6.75" customHeight="1" x14ac:dyDescent="0.15"/>
    <row r="7" spans="1:3" x14ac:dyDescent="0.15">
      <c r="B7" s="5"/>
      <c r="C7" s="2" t="s">
        <v>39</v>
      </c>
    </row>
  </sheetData>
  <phoneticPr fontId="41"/>
  <dataValidations count="1">
    <dataValidation allowBlank="1" showInputMessage="1" showErrorMessage="1" sqref="B5" xr:uid="{00000000-0002-0000-0800-000000000000}"/>
  </dataValidations>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2046</vt:i4>
      </vt:variant>
    </vt:vector>
  </HeadingPairs>
  <TitlesOfParts>
    <vt:vector size="2048" baseType="lpstr">
      <vt:lpstr>委任状_確認等</vt:lpstr>
      <vt:lpstr>説明</vt:lpstr>
      <vt:lpstr>_１級</vt:lpstr>
      <vt:lpstr>_output_sheetname</vt:lpstr>
      <vt:lpstr>_output_title</vt:lpstr>
      <vt:lpstr>chk_INTER_state_in_final</vt:lpstr>
      <vt:lpstr>chk_INTER1_state_in_conf</vt:lpstr>
      <vt:lpstr>chk_INTER2_state_in_conf</vt:lpstr>
      <vt:lpstr>chk_INTER3_state_in_conf</vt:lpstr>
      <vt:lpstr>chk_JOB_KIND_kakunin</vt:lpstr>
      <vt:lpstr>cls_JOB_KIND_base_point</vt:lpstr>
      <vt:lpstr>cls_JOB_KIND_erea</vt:lpstr>
      <vt:lpstr>cls_JOB_SET_KIND_base_point</vt:lpstr>
      <vt:lpstr>cls_JOB_SET_KIND_erea</vt:lpstr>
      <vt:lpstr>cls_TARGET_KIND_base_point</vt:lpstr>
      <vt:lpstr>cls_TARGET_KIND_erea</vt:lpstr>
      <vt:lpstr>cst__output_sheetname</vt:lpstr>
      <vt:lpstr>cst__output_title</vt:lpstr>
      <vt:lpstr>cst_ISSUE_DATE_select</vt:lpstr>
      <vt:lpstr>cst_ISSUE_KOUFU_NAME_select</vt:lpstr>
      <vt:lpstr>cst_ISSUE_NO_select</vt:lpstr>
      <vt:lpstr>cst_koujikikan_month</vt:lpstr>
      <vt:lpstr>cst_koujikikan_year</vt:lpstr>
      <vt:lpstr>cst_shinsei_build_p6_01_PAGE6_KOUZOU_KEISAN_KIND__002</vt:lpstr>
      <vt:lpstr>cst_shinsei_build_p6_01_PAGE6_KOUZOU_KEISAN_KIND__004</vt:lpstr>
      <vt:lpstr>cst_shinsei_build_p6_01_PAGE6_KOUZOU_KEISAN_KIND__005</vt:lpstr>
      <vt:lpstr>cst_shinsei_build_YOUTO</vt:lpstr>
      <vt:lpstr>cst_shinsei_HIKIUKE_DATE</vt:lpstr>
      <vt:lpstr>cst_shinsei_ISSUE_DATE</vt:lpstr>
      <vt:lpstr>cst_shinsei_ISSUE_KOUFU_NAME</vt:lpstr>
      <vt:lpstr>cst_shinsei_ISSUE_NO</vt:lpstr>
      <vt:lpstr>cst_shinsei_ISSUE_NO_disp</vt:lpstr>
      <vt:lpstr>cst_shinsei_KAKU_SUMI_NO</vt:lpstr>
      <vt:lpstr>cst_shinsei_KAKUNIN_ISSUE_NO</vt:lpstr>
      <vt:lpstr>cst_shinsei_KAKUNIN_KOUFU_DATE</vt:lpstr>
      <vt:lpstr>cst_shinsei_PROVO_DATE</vt:lpstr>
      <vt:lpstr>cst_shinsei_PROVO_NO</vt:lpstr>
      <vt:lpstr>cst_shinsei_UKETUKE_NO</vt:lpstr>
      <vt:lpstr>cst_shinsei_UNIT_COUNT</vt:lpstr>
      <vt:lpstr>cst_wsflat35_dairi1_POST</vt:lpstr>
      <vt:lpstr>cst_wsjob_JOB_KIND</vt:lpstr>
      <vt:lpstr>cst_wsjob_JOB_KIND_final_box</vt:lpstr>
      <vt:lpstr>cst_wsjob_JOB_KIND_inter_box</vt:lpstr>
      <vt:lpstr>cst_wsjob_JOB_KIND_kakunin_box</vt:lpstr>
      <vt:lpstr>cst_wsjob_JOB_SET_KIND</vt:lpstr>
      <vt:lpstr>cst_wsjob_KENTIKUBUTU_box</vt:lpstr>
      <vt:lpstr>cst_wsjob_KENTIKUSETUBI_box</vt:lpstr>
      <vt:lpstr>cst_wsjob_KOUSAKUBUTU_1_box</vt:lpstr>
      <vt:lpstr>cst_wsjob_KOUSAKUBUTU_2_box</vt:lpstr>
      <vt:lpstr>cst_wsjob_SYOUKOUKI_box</vt:lpstr>
      <vt:lpstr>cst_wsjob_TARGET_KIND</vt:lpstr>
      <vt:lpstr>cst_wsjob_TARGET_KIND__label</vt:lpstr>
      <vt:lpstr>cst_wskakunin__bouka</vt:lpstr>
      <vt:lpstr>cst_wskakunin__kouji</vt:lpstr>
      <vt:lpstr>cst_wskakunin__kuiki</vt:lpstr>
      <vt:lpstr>cst_wskakunin__kuiki_box</vt:lpstr>
      <vt:lpstr>cst_wskakunin__tosi_kuiki</vt:lpstr>
      <vt:lpstr>cst_wskakunin_20kouzou101_KOUZOUSEKKEI_KOUFU_NO</vt:lpstr>
      <vt:lpstr>cst_wskakunin_20kouzou101_NAME</vt:lpstr>
      <vt:lpstr>cst_wskakunin_20kouzou102_KOUZOUSEKKEI_KOUFU_NO</vt:lpstr>
      <vt:lpstr>cst_wskakunin_20kouzou102_NAME</vt:lpstr>
      <vt:lpstr>cst_wskakunin_20kouzou103_KOUZOUSEKKEI_KOUFU_NO</vt:lpstr>
      <vt:lpstr>cst_wskakunin_20kouzou103_NAME</vt:lpstr>
      <vt:lpstr>cst_wskakunin_20kouzou104_KOUZOUSEKKEI_KOUFU_NO</vt:lpstr>
      <vt:lpstr>cst_wskakunin_20kouzou104_NAME</vt:lpstr>
      <vt:lpstr>cst_wskakunin_20kouzou105_KOUZOUSEKKEI_KOUFU_NO</vt:lpstr>
      <vt:lpstr>cst_wskakunin_20kouzou105_NAME</vt:lpstr>
      <vt:lpstr>cst_wskakunin_20kouzou301_KOUZOUSEKKEI_KOUFU_NO</vt:lpstr>
      <vt:lpstr>cst_wskakunin_20kouzou301_NAME</vt:lpstr>
      <vt:lpstr>cst_wskakunin_20kouzou302_KOUZOUSEKKEI_KOUFU_NO</vt:lpstr>
      <vt:lpstr>cst_wskakunin_20kouzou302_NAME</vt:lpstr>
      <vt:lpstr>cst_wskakunin_20kouzou303_KOUZOUSEKKEI_KOUFU_NO</vt:lpstr>
      <vt:lpstr>cst_wskakunin_20kouzou303_NAME</vt:lpstr>
      <vt:lpstr>cst_wskakunin_20kouzou304_KOUZOUSEKKEI_KOUFU_NO</vt:lpstr>
      <vt:lpstr>cst_wskakunin_20kouzou304_NAME</vt:lpstr>
      <vt:lpstr>cst_wskakunin_20kouzou305_KOUZOUSEKKEI_KOUFU_NO</vt:lpstr>
      <vt:lpstr>cst_wskakunin_20kouzou305_NAME</vt:lpstr>
      <vt:lpstr>cst_wskakunin_20setubi101_NAME</vt:lpstr>
      <vt:lpstr>cst_wskakunin_20setubi101_SETUBISEKKEI_KOUFU_NO</vt:lpstr>
      <vt:lpstr>cst_wskakunin_20setubi102_NAME</vt:lpstr>
      <vt:lpstr>cst_wskakunin_20setubi102_SETUBISEKKEI_KOUFU_NO</vt:lpstr>
      <vt:lpstr>cst_wskakunin_20setubi103_NAME</vt:lpstr>
      <vt:lpstr>cst_wskakunin_20setubi103_SETUBISEKKEI_KOUFU_NO</vt:lpstr>
      <vt:lpstr>cst_wskakunin_20setubi104_NAME</vt:lpstr>
      <vt:lpstr>cst_wskakunin_20setubi104_SETUBISEKKEI_KOUFU_NO</vt:lpstr>
      <vt:lpstr>cst_wskakunin_20setubi105_NAME</vt:lpstr>
      <vt:lpstr>cst_wskakunin_20setubi105_SETUBISEKKEI_KOUFU_NO</vt:lpstr>
      <vt:lpstr>cst_wskakunin_20setubi301_NAME</vt:lpstr>
      <vt:lpstr>cst_wskakunin_20setubi301_SETUBISEKKEI_KOUFU_NO</vt:lpstr>
      <vt:lpstr>cst_wskakunin_20setubi302_NAME</vt:lpstr>
      <vt:lpstr>cst_wskakunin_20setubi302_SETUBISEKKEI_KOUFU_NO</vt:lpstr>
      <vt:lpstr>cst_wskakunin_20setubi303_NAME</vt:lpstr>
      <vt:lpstr>cst_wskakunin_20setubi303_SETUBISEKKEI_KOUFU_NO</vt:lpstr>
      <vt:lpstr>cst_wskakunin_20setubi304_NAME</vt:lpstr>
      <vt:lpstr>cst_wskakunin_20setubi304_SETUBISEKKEI_KOUFU_NO</vt:lpstr>
      <vt:lpstr>cst_wskakunin_20setubi305_NAME</vt:lpstr>
      <vt:lpstr>cst_wskakunin_20setubi305_SETUBISEKKEI_KOUFU_NO</vt:lpstr>
      <vt:lpstr>cst_wskakunin_APPLICANT_NAME</vt:lpstr>
      <vt:lpstr>cst_wskakunin_BOUKA_22JYO</vt:lpstr>
      <vt:lpstr>cst_wskakunin_BOUKA_BOUKA</vt:lpstr>
      <vt:lpstr>cst_wskakunin_BOUKA_JYUN_BOUKA</vt:lpstr>
      <vt:lpstr>cst_wskakunin_BOUKA_NASI</vt:lpstr>
      <vt:lpstr>cst_wskakunin_BOUKA_SETUBI_FLAG</vt:lpstr>
      <vt:lpstr>cst_wskakunin_BOUKA_SETUBI_FLAG_box_off</vt:lpstr>
      <vt:lpstr>cst_wskakunin_BOUKA_SETUBI_FLAG_box_on</vt:lpstr>
      <vt:lpstr>cst_wskakunin_BUILD__address</vt:lpstr>
      <vt:lpstr>cst_wskakunin_BUILD_ADDRESS</vt:lpstr>
      <vt:lpstr>cst_wskakunin_BUILD_JYUKYO__address</vt:lpstr>
      <vt:lpstr>cst_wskakunin_BUILD_JYUKYO_ADDRESS</vt:lpstr>
      <vt:lpstr>cst_wskakunin_BUILD_JYUKYO_KEN__ken</vt:lpstr>
      <vt:lpstr>cst_wskakunin_BUILD_KEN__ken</vt:lpstr>
      <vt:lpstr>cst_wskakunin_BUILD_NAME</vt:lpstr>
      <vt:lpstr>cst_wskakunin_BUILD_NAME_KANA</vt:lpstr>
      <vt:lpstr>cst_wskakunin_BUILD_SHINSEI_COUNT</vt:lpstr>
      <vt:lpstr>cst_wskakunin_BUILD_SONOTA_COUNT</vt:lpstr>
      <vt:lpstr>cst_wskakunin_dairi1__address</vt:lpstr>
      <vt:lpstr>cst_wskakunin_dairi1__sikaku</vt:lpstr>
      <vt:lpstr>cst_wskakunin_dairi1__space</vt:lpstr>
      <vt:lpstr>cst_wskakunin_dairi1__space2</vt:lpstr>
      <vt:lpstr>cst_wskakunin_dairi1__space3</vt:lpstr>
      <vt:lpstr>cst_wskakunin_dairi1_FAX</vt:lpstr>
      <vt:lpstr>cst_wskakunin_dairi1_JIMU__sikaku</vt:lpstr>
      <vt:lpstr>cst_wskakunin_dairi1_JIMU_NAME</vt:lpstr>
      <vt:lpstr>cst_wskakunin_dairi1_JIMU_NO</vt:lpstr>
      <vt:lpstr>cst_wskakunin_dairi1_JIMU_SIKAKU</vt:lpstr>
      <vt:lpstr>cst_wskakunin_dairi1_JIMU_TOUROKU_KIKAN</vt:lpstr>
      <vt:lpstr>cst_wskakunin_dairi1_KENTIKUSI_NO</vt:lpstr>
      <vt:lpstr>cst_wskakunin_dairi1_NAME</vt:lpstr>
      <vt:lpstr>cst_wskakunin_dairi1_NAME_KANA</vt:lpstr>
      <vt:lpstr>cst_wskakunin_dairi1_SIKAKU</vt:lpstr>
      <vt:lpstr>cst_wskakunin_dairi1_TEL</vt:lpstr>
      <vt:lpstr>cst_wskakunin_dairi1_TOUROKU_KIKAN</vt:lpstr>
      <vt:lpstr>cst_wskakunin_dairi1_ZIP</vt:lpstr>
      <vt:lpstr>cst_wskakunin_dairi2__address</vt:lpstr>
      <vt:lpstr>cst_wskakunin_dairi2__sikaku</vt:lpstr>
      <vt:lpstr>cst_wskakunin_dairi2__space</vt:lpstr>
      <vt:lpstr>cst_wskakunin_dairi2_FAX</vt:lpstr>
      <vt:lpstr>cst_wskakunin_dairi2_JIMU__sikaku</vt:lpstr>
      <vt:lpstr>cst_wskakunin_dairi2_JIMU_NAME</vt:lpstr>
      <vt:lpstr>cst_wskakunin_dairi2_JIMU_NO</vt:lpstr>
      <vt:lpstr>cst_wskakunin_dairi2_JIMU_SIKAKU</vt:lpstr>
      <vt:lpstr>cst_wskakunin_dairi2_JIMU_TOUROKU_KIKAN</vt:lpstr>
      <vt:lpstr>cst_wskakunin_dairi2_KENTIKUSI_NO</vt:lpstr>
      <vt:lpstr>cst_wskakunin_dairi2_NAME</vt:lpstr>
      <vt:lpstr>cst_wskakunin_dairi2_NAME_KANA</vt:lpstr>
      <vt:lpstr>cst_wskakunin_dairi2_SIKAKU</vt:lpstr>
      <vt:lpstr>cst_wskakunin_dairi2_TEL</vt:lpstr>
      <vt:lpstr>cst_wskakunin_dairi2_TOUROKU_KIKAN</vt:lpstr>
      <vt:lpstr>cst_wskakunin_dairi2_ZIP</vt:lpstr>
      <vt:lpstr>cst_wskakunin_dairi3__address</vt:lpstr>
      <vt:lpstr>cst_wskakunin_dairi3__sikaku</vt:lpstr>
      <vt:lpstr>cst_wskakunin_dairi3__space</vt:lpstr>
      <vt:lpstr>cst_wskakunin_dairi3_FAX</vt:lpstr>
      <vt:lpstr>cst_wskakunin_dairi3_JIMU__sikaku</vt:lpstr>
      <vt:lpstr>cst_wskakunin_dairi3_JIMU_NAME</vt:lpstr>
      <vt:lpstr>cst_wskakunin_dairi3_JIMU_NO</vt:lpstr>
      <vt:lpstr>cst_wskakunin_dairi3_JIMU_SIKAKU</vt:lpstr>
      <vt:lpstr>cst_wskakunin_dairi3_JIMU_TOUROKU_KIKAN</vt:lpstr>
      <vt:lpstr>cst_wskakunin_dairi3_KENTIKUSI_NO</vt:lpstr>
      <vt:lpstr>cst_wskakunin_dairi3_NAME</vt:lpstr>
      <vt:lpstr>cst_wskakunin_dairi3_NAME_KANA</vt:lpstr>
      <vt:lpstr>cst_wskakunin_dairi3_SIKAKU</vt:lpstr>
      <vt:lpstr>cst_wskakunin_dairi3_TEL</vt:lpstr>
      <vt:lpstr>cst_wskakunin_dairi3_TOUROKU_KIKAN</vt:lpstr>
      <vt:lpstr>cst_wskakunin_dairi3_ZIP</vt:lpstr>
      <vt:lpstr>cst_wskakunin_dairi4__address</vt:lpstr>
      <vt:lpstr>cst_wskakunin_dairi4__sikaku</vt:lpstr>
      <vt:lpstr>cst_wskakunin_dairi4__space</vt:lpstr>
      <vt:lpstr>cst_wskakunin_dairi4_FAX</vt:lpstr>
      <vt:lpstr>cst_wskakunin_dairi4_JIMU__sikaku</vt:lpstr>
      <vt:lpstr>cst_wskakunin_dairi4_JIMU_NAME</vt:lpstr>
      <vt:lpstr>cst_wskakunin_dairi4_JIMU_NO</vt:lpstr>
      <vt:lpstr>cst_wskakunin_dairi4_JIMU_SIKAKU</vt:lpstr>
      <vt:lpstr>cst_wskakunin_dairi4_JIMU_TOUROKU_KIKAN</vt:lpstr>
      <vt:lpstr>cst_wskakunin_dairi4_KENTIKUSI_NO</vt:lpstr>
      <vt:lpstr>cst_wskakunin_dairi4_NAME</vt:lpstr>
      <vt:lpstr>cst_wskakunin_dairi4_NAME_KANA</vt:lpstr>
      <vt:lpstr>cst_wskakunin_dairi4_SIKAKU</vt:lpstr>
      <vt:lpstr>cst_wskakunin_dairi4_TEL</vt:lpstr>
      <vt:lpstr>cst_wskakunin_dairi4_TOUROKU_KIKAN</vt:lpstr>
      <vt:lpstr>cst_wskakunin_dairi4_ZIP</vt:lpstr>
      <vt:lpstr>cst_wskakunin_dairi5__address</vt:lpstr>
      <vt:lpstr>cst_wskakunin_dairi5__sikaku</vt:lpstr>
      <vt:lpstr>cst_wskakunin_dairi5__space</vt:lpstr>
      <vt:lpstr>cst_wskakunin_dairi5_FAX</vt:lpstr>
      <vt:lpstr>cst_wskakunin_dairi5_JIMU__sikaku</vt:lpstr>
      <vt:lpstr>cst_wskakunin_dairi5_JIMU_NAME</vt:lpstr>
      <vt:lpstr>cst_wskakunin_dairi5_JIMU_NO</vt:lpstr>
      <vt:lpstr>cst_wskakunin_dairi5_JIMU_SIKAKU</vt:lpstr>
      <vt:lpstr>cst_wskakunin_dairi5_JIMU_TOUROKU_KIKAN</vt:lpstr>
      <vt:lpstr>cst_wskakunin_dairi5_KENTIKUSI_NO</vt:lpstr>
      <vt:lpstr>cst_wskakunin_dairi5_NAME</vt:lpstr>
      <vt:lpstr>cst_wskakunin_dairi5_NAME_KANA</vt:lpstr>
      <vt:lpstr>cst_wskakunin_dairi5_SIKAKU</vt:lpstr>
      <vt:lpstr>cst_wskakunin_dairi5_TEL</vt:lpstr>
      <vt:lpstr>cst_wskakunin_dairi5_TOUROKU_KIKAN</vt:lpstr>
      <vt:lpstr>cst_wskakunin_dairi5_ZIP</vt:lpstr>
      <vt:lpstr>cst_wskakunin_DOURO_FUKUIN</vt:lpstr>
      <vt:lpstr>cst_wskakunin_DOURO_NAGASA</vt:lpstr>
      <vt:lpstr>cst_wskakunin_ecotekihan01_FUYOU_CAUSE</vt:lpstr>
      <vt:lpstr>cst_wskakunin_ecotekihan01_miteisyutu_kikan_info</vt:lpstr>
      <vt:lpstr>cst_wskakunin_ecotekihan01_teisyutu_kikan_info</vt:lpstr>
      <vt:lpstr>cst_wskakunin_ecotekihan01_TEKIHAN_KIKAN_ADDRESS</vt:lpstr>
      <vt:lpstr>cst_wskakunin_ecotekihan01_TEKIHAN_KIKAN_KEN__ken</vt:lpstr>
      <vt:lpstr>cst_wskakunin_ecotekihan01_TEKIHAN_KIKAN_NAME</vt:lpstr>
      <vt:lpstr>cst_wskakunin_ecotekihan01_TEKIHAN_STATE_miteisyutu</vt:lpstr>
      <vt:lpstr>cst_wskakunin_ecotekihan01_TEKIHAN_STATE_teisyutu</vt:lpstr>
      <vt:lpstr>cst_wskakunin_ecotekihan01_TEKIHAN_STATE_teisyutufuyou</vt:lpstr>
      <vt:lpstr>cst_wskakunin_gaiyou1_EV_KIND</vt:lpstr>
      <vt:lpstr>cst_wskakunin_gaiyou1_KOUJI_KAITIKU</vt:lpstr>
      <vt:lpstr>cst_wskakunin_gaiyou1_KOUJI_SINTIKU</vt:lpstr>
      <vt:lpstr>cst_wskakunin_gaiyou1_KOUJI_SONOTA</vt:lpstr>
      <vt:lpstr>cst_wskakunin_gaiyou1_KOUJI_SONOTA_TEXT</vt:lpstr>
      <vt:lpstr>cst_wskakunin_gaiyou1_KOUJI_ZOUTIKU</vt:lpstr>
      <vt:lpstr>cst_wskakunin_gaiyou1_KOUZOU</vt:lpstr>
      <vt:lpstr>cst_wskakunin_gaiyou1_NINSYOU_NO</vt:lpstr>
      <vt:lpstr>cst_wskakunin_gaiyou1_NO</vt:lpstr>
      <vt:lpstr>cst_wskakunin_gaiyou1_SEKISAI</vt:lpstr>
      <vt:lpstr>cst_wskakunin_gaiyou1_SONOTA</vt:lpstr>
      <vt:lpstr>cst_wskakunin_gaiyou1_SONOTA_and_NINSYOU_NO</vt:lpstr>
      <vt:lpstr>cst_wskakunin_gaiyou1_SPEED</vt:lpstr>
      <vt:lpstr>cst_wskakunin_gaiyou1_TAKASA</vt:lpstr>
      <vt:lpstr>cst_wskakunin_gaiyou1_TEIIN</vt:lpstr>
      <vt:lpstr>cst_wskakunin_gaiyou1_TIKUZOU_MENSEKI_IGAI</vt:lpstr>
      <vt:lpstr>cst_wskakunin_gaiyou1_TIKUZOU_MENSEKI_SHINSEI</vt:lpstr>
      <vt:lpstr>cst_wskakunin_gaiyou1_TIKUZOU_MENSEKI_TOTAL</vt:lpstr>
      <vt:lpstr>cst_wskakunin_gaiyou1_WORK_COUNT_IGAI</vt:lpstr>
      <vt:lpstr>cst_wskakunin_gaiyou1_WORK_COUNT_SHINSEI</vt:lpstr>
      <vt:lpstr>cst_wskakunin_gaiyou1_WORK_COUNT_TOTAL</vt:lpstr>
      <vt:lpstr>cst_wskakunin_gaiyou1_WORK_SYURUI</vt:lpstr>
      <vt:lpstr>cst_wskakunin_gaiyou1_WORK_SYURUI_CODE</vt:lpstr>
      <vt:lpstr>cst_wskakunin_gaiyou1_YOUTO</vt:lpstr>
      <vt:lpstr>cst_wskakunin_iken1__address</vt:lpstr>
      <vt:lpstr>cst_wskakunin_iken1_DOC</vt:lpstr>
      <vt:lpstr>cst_wskakunin_iken1_IKEN_NO</vt:lpstr>
      <vt:lpstr>cst_wskakunin_iken1_JIMU_NAME</vt:lpstr>
      <vt:lpstr>cst_wskakunin_iken1_NAME</vt:lpstr>
      <vt:lpstr>cst_wskakunin_iken1_TEL</vt:lpstr>
      <vt:lpstr>cst_wskakunin_iken1_ZIP</vt:lpstr>
      <vt:lpstr>cst_wskakunin_iken2__address</vt:lpstr>
      <vt:lpstr>cst_wskakunin_iken2_DOC</vt:lpstr>
      <vt:lpstr>cst_wskakunin_iken2_IKEN_NO</vt:lpstr>
      <vt:lpstr>cst_wskakunin_iken2_JIMU_NAME</vt:lpstr>
      <vt:lpstr>cst_wskakunin_iken2_NAME</vt:lpstr>
      <vt:lpstr>cst_wskakunin_iken2_TEL</vt:lpstr>
      <vt:lpstr>cst_wskakunin_iken2_ZIP</vt:lpstr>
      <vt:lpstr>cst_wskakunin_iken3__address</vt:lpstr>
      <vt:lpstr>cst_wskakunin_iken3_DOC</vt:lpstr>
      <vt:lpstr>cst_wskakunin_iken3_IKEN_NO</vt:lpstr>
      <vt:lpstr>cst_wskakunin_iken3_JIMU_NAME</vt:lpstr>
      <vt:lpstr>cst_wskakunin_iken3_NAME</vt:lpstr>
      <vt:lpstr>cst_wskakunin_iken3_TEL</vt:lpstr>
      <vt:lpstr>cst_wskakunin_iken3_ZIP</vt:lpstr>
      <vt:lpstr>cst_wskakunin_iken4__address</vt:lpstr>
      <vt:lpstr>cst_wskakunin_iken4_DOC</vt:lpstr>
      <vt:lpstr>cst_wskakunin_iken4_IKEN_NO</vt:lpstr>
      <vt:lpstr>cst_wskakunin_iken4_JIMU_NAME</vt:lpstr>
      <vt:lpstr>cst_wskakunin_iken4_NAME</vt:lpstr>
      <vt:lpstr>cst_wskakunin_iken4_TEL</vt:lpstr>
      <vt:lpstr>cst_wskakunin_iken4_ZIP</vt:lpstr>
      <vt:lpstr>cst_wskakunin_iken5__address</vt:lpstr>
      <vt:lpstr>cst_wskakunin_iken5_DOC</vt:lpstr>
      <vt:lpstr>cst_wskakunin_iken5_IKEN_NO</vt:lpstr>
      <vt:lpstr>cst_wskakunin_iken5_JIMU_NAME</vt:lpstr>
      <vt:lpstr>cst_wskakunin_iken5_NAME</vt:lpstr>
      <vt:lpstr>cst_wskakunin_iken5_TEL</vt:lpstr>
      <vt:lpstr>cst_wskakunin_iken5_ZIP</vt:lpstr>
      <vt:lpstr>cst_wskakunin_KAISU_TIJYOU_SHINSEI</vt:lpstr>
      <vt:lpstr>cst_wskakunin_KAISU_TIJYOU_SONOTA</vt:lpstr>
      <vt:lpstr>cst_wskakunin_KAISU_TIKA_SHINSEI__zero</vt:lpstr>
      <vt:lpstr>cst_wskakunin_KAISU_TIKA_SONOTA</vt:lpstr>
      <vt:lpstr>cst_wskakunin_kanri1__address</vt:lpstr>
      <vt:lpstr>cst_wskakunin_kanri1__sikaku</vt:lpstr>
      <vt:lpstr>cst_wskakunin_kanri1_DOC</vt:lpstr>
      <vt:lpstr>cst_wskakunin_kanri1_JIMU</vt:lpstr>
      <vt:lpstr>cst_wskakunin_kanri1_JIMU_NAME</vt:lpstr>
      <vt:lpstr>cst_wskakunin_kanri1_JIMU_NO</vt:lpstr>
      <vt:lpstr>cst_wskakunin_kanri1_JIMU_SIKAKU</vt:lpstr>
      <vt:lpstr>cst_wskakunin_kanri1_JIMU_TOUROKU_KIKAN</vt:lpstr>
      <vt:lpstr>cst_wskakunin_kanri1_KENTIKUSI_NO</vt:lpstr>
      <vt:lpstr>cst_wskakunin_kanri1_NAME</vt:lpstr>
      <vt:lpstr>cst_wskakunin_kanri1_SIKAKU</vt:lpstr>
      <vt:lpstr>cst_wskakunin_kanri1_TEL</vt:lpstr>
      <vt:lpstr>cst_wskakunin_kanri1_TOUROKU_KIKAN</vt:lpstr>
      <vt:lpstr>cst_wskakunin_kanri1_ZIP</vt:lpstr>
      <vt:lpstr>cst_wskakunin_kanri1_ZIP2</vt:lpstr>
      <vt:lpstr>cst_wskakunin_kanri10__address</vt:lpstr>
      <vt:lpstr>cst_wskakunin_kanri10__sikaku</vt:lpstr>
      <vt:lpstr>cst_wskakunin_kanri10_DOC</vt:lpstr>
      <vt:lpstr>cst_wskakunin_kanri10_JIMU__sikaku</vt:lpstr>
      <vt:lpstr>cst_wskakunin_kanri10_JIMU_NAME</vt:lpstr>
      <vt:lpstr>cst_wskakunin_kanri10_JIMU_NO</vt:lpstr>
      <vt:lpstr>cst_wskakunin_kanri10_JIMU_SIKAKU</vt:lpstr>
      <vt:lpstr>cst_wskakunin_kanri10_JIMU_TOUROKU_KIKAN</vt:lpstr>
      <vt:lpstr>cst_wskakunin_kanri10_KENTIKUSI_NO</vt:lpstr>
      <vt:lpstr>cst_wskakunin_kanri10_NAME</vt:lpstr>
      <vt:lpstr>cst_wskakunin_kanri10_SIKAKU</vt:lpstr>
      <vt:lpstr>cst_wskakunin_kanri10_TEL</vt:lpstr>
      <vt:lpstr>cst_wskakunin_kanri10_TOUROKU_KIKAN</vt:lpstr>
      <vt:lpstr>cst_wskakunin_kanri10_ZIP</vt:lpstr>
      <vt:lpstr>cst_wskakunin_kanri11__address</vt:lpstr>
      <vt:lpstr>cst_wskakunin_kanri11__sikaku</vt:lpstr>
      <vt:lpstr>cst_wskakunin_kanri11_DOC</vt:lpstr>
      <vt:lpstr>cst_wskakunin_kanri11_JIMU__sikaku</vt:lpstr>
      <vt:lpstr>cst_wskakunin_kanri11_JIMU_NAME</vt:lpstr>
      <vt:lpstr>cst_wskakunin_kanri11_JIMU_NO</vt:lpstr>
      <vt:lpstr>cst_wskakunin_kanri11_JIMU_SIKAKU</vt:lpstr>
      <vt:lpstr>cst_wskakunin_kanri11_JIMU_TOUROKU_KIKAN</vt:lpstr>
      <vt:lpstr>cst_wskakunin_kanri11_KENTIKUSI_NO</vt:lpstr>
      <vt:lpstr>cst_wskakunin_kanri11_NAME</vt:lpstr>
      <vt:lpstr>cst_wskakunin_kanri11_SIKAKU</vt:lpstr>
      <vt:lpstr>cst_wskakunin_kanri11_TEL</vt:lpstr>
      <vt:lpstr>cst_wskakunin_kanri11_TOUROKU_KIKAN</vt:lpstr>
      <vt:lpstr>cst_wskakunin_kanri11_ZIP</vt:lpstr>
      <vt:lpstr>cst_wskakunin_kanri12__address</vt:lpstr>
      <vt:lpstr>cst_wskakunin_kanri12__sikaku</vt:lpstr>
      <vt:lpstr>cst_wskakunin_kanri12_DOC</vt:lpstr>
      <vt:lpstr>cst_wskakunin_kanri12_JIMU__sikaku</vt:lpstr>
      <vt:lpstr>cst_wskakunin_kanri12_JIMU_NAME</vt:lpstr>
      <vt:lpstr>cst_wskakunin_kanri12_JIMU_NO</vt:lpstr>
      <vt:lpstr>cst_wskakunin_kanri12_JIMU_SIKAKU</vt:lpstr>
      <vt:lpstr>cst_wskakunin_kanri12_JIMU_TOUROKU_KIKAN</vt:lpstr>
      <vt:lpstr>cst_wskakunin_kanri12_KENTIKUSI_NO</vt:lpstr>
      <vt:lpstr>cst_wskakunin_kanri12_NAME</vt:lpstr>
      <vt:lpstr>cst_wskakunin_kanri12_SIKAKU</vt:lpstr>
      <vt:lpstr>cst_wskakunin_kanri12_TEL</vt:lpstr>
      <vt:lpstr>cst_wskakunin_kanri12_TOUROKU_KIKAN</vt:lpstr>
      <vt:lpstr>cst_wskakunin_kanri12_ZIP</vt:lpstr>
      <vt:lpstr>cst_wskakunin_kanri2__address</vt:lpstr>
      <vt:lpstr>cst_wskakunin_kanri2__sikaku</vt:lpstr>
      <vt:lpstr>cst_wskakunin_kanri2_DOC</vt:lpstr>
      <vt:lpstr>cst_wskakunin_kanri2_JIMU</vt:lpstr>
      <vt:lpstr>cst_wskakunin_kanri2_JIMU_NAME</vt:lpstr>
      <vt:lpstr>cst_wskakunin_kanri2_JIMU_NO</vt:lpstr>
      <vt:lpstr>cst_wskakunin_kanri2_JIMU_SIKAKU</vt:lpstr>
      <vt:lpstr>cst_wskakunin_kanri2_JIMU_TOUROKU_KIKAN</vt:lpstr>
      <vt:lpstr>cst_wskakunin_kanri2_KENTIKUSI_NO</vt:lpstr>
      <vt:lpstr>cst_wskakunin_kanri2_NAME</vt:lpstr>
      <vt:lpstr>cst_wskakunin_kanri2_SIKAKU</vt:lpstr>
      <vt:lpstr>cst_wskakunin_kanri2_TEL</vt:lpstr>
      <vt:lpstr>cst_wskakunin_kanri2_TOUROKU_KIKAN</vt:lpstr>
      <vt:lpstr>cst_wskakunin_kanri2_ZIP</vt:lpstr>
      <vt:lpstr>cst_wskakunin_kanri3__address</vt:lpstr>
      <vt:lpstr>cst_wskakunin_kanri3__sikaku</vt:lpstr>
      <vt:lpstr>cst_wskakunin_kanri3_DOC</vt:lpstr>
      <vt:lpstr>cst_wskakunin_kanri3_JIMU__sikaku</vt:lpstr>
      <vt:lpstr>cst_wskakunin_kanri3_JIMU_NAME</vt:lpstr>
      <vt:lpstr>cst_wskakunin_kanri3_JIMU_NO</vt:lpstr>
      <vt:lpstr>cst_wskakunin_kanri3_JIMU_SIKAKU</vt:lpstr>
      <vt:lpstr>cst_wskakunin_kanri3_JIMU_TOUROKU_KIKAN</vt:lpstr>
      <vt:lpstr>cst_wskakunin_kanri3_KENTIKUSI_NO</vt:lpstr>
      <vt:lpstr>cst_wskakunin_kanri3_NAME</vt:lpstr>
      <vt:lpstr>cst_wskakunin_kanri3_SIKAKU</vt:lpstr>
      <vt:lpstr>cst_wskakunin_kanri3_TEL</vt:lpstr>
      <vt:lpstr>cst_wskakunin_kanri3_TOUROKU_KIKAN</vt:lpstr>
      <vt:lpstr>cst_wskakunin_kanri3_ZIP</vt:lpstr>
      <vt:lpstr>cst_wskakunin_kanri4__address</vt:lpstr>
      <vt:lpstr>cst_wskakunin_kanri4__sikaku</vt:lpstr>
      <vt:lpstr>cst_wskakunin_kanri4_DOC</vt:lpstr>
      <vt:lpstr>cst_wskakunin_kanri4_JIMU__sikaku</vt:lpstr>
      <vt:lpstr>cst_wskakunin_kanri4_JIMU_NAME</vt:lpstr>
      <vt:lpstr>cst_wskakunin_kanri4_JIMU_NO</vt:lpstr>
      <vt:lpstr>cst_wskakunin_kanri4_JIMU_SIKAKU</vt:lpstr>
      <vt:lpstr>cst_wskakunin_kanri4_JIMU_TOUROKU_KIKAN</vt:lpstr>
      <vt:lpstr>cst_wskakunin_kanri4_KENTIKUSI_NO</vt:lpstr>
      <vt:lpstr>cst_wskakunin_kanri4_NAME</vt:lpstr>
      <vt:lpstr>cst_wskakunin_kanri4_SIKAKU</vt:lpstr>
      <vt:lpstr>cst_wskakunin_kanri4_TEL</vt:lpstr>
      <vt:lpstr>cst_wskakunin_kanri4_TOUROKU_KIKAN</vt:lpstr>
      <vt:lpstr>cst_wskakunin_kanri4_ZIP</vt:lpstr>
      <vt:lpstr>cst_wskakunin_kanri5__address</vt:lpstr>
      <vt:lpstr>cst_wskakunin_kanri5__sikaku</vt:lpstr>
      <vt:lpstr>cst_wskakunin_kanri5_DOC</vt:lpstr>
      <vt:lpstr>cst_wskakunin_kanri5_JIMU__sikaku</vt:lpstr>
      <vt:lpstr>cst_wskakunin_kanri5_JIMU_NAME</vt:lpstr>
      <vt:lpstr>cst_wskakunin_kanri5_JIMU_NO</vt:lpstr>
      <vt:lpstr>cst_wskakunin_kanri5_JIMU_SIKAKU</vt:lpstr>
      <vt:lpstr>cst_wskakunin_kanri5_JIMU_TOUROKU_KIKAN</vt:lpstr>
      <vt:lpstr>cst_wskakunin_kanri5_KENTIKUSI_NO</vt:lpstr>
      <vt:lpstr>cst_wskakunin_kanri5_NAME</vt:lpstr>
      <vt:lpstr>cst_wskakunin_kanri5_SIKAKU</vt:lpstr>
      <vt:lpstr>cst_wskakunin_kanri5_TEL</vt:lpstr>
      <vt:lpstr>cst_wskakunin_kanri5_TOUROKU_KIKAN</vt:lpstr>
      <vt:lpstr>cst_wskakunin_kanri5_ZIP</vt:lpstr>
      <vt:lpstr>cst_wskakunin_kanri6__address</vt:lpstr>
      <vt:lpstr>cst_wskakunin_kanri6__sikaku</vt:lpstr>
      <vt:lpstr>cst_wskakunin_kanri6_DOC</vt:lpstr>
      <vt:lpstr>cst_wskakunin_kanri6_JIMU__sikaku</vt:lpstr>
      <vt:lpstr>cst_wskakunin_kanri6_JIMU_NAME</vt:lpstr>
      <vt:lpstr>cst_wskakunin_kanri6_JIMU_NO</vt:lpstr>
      <vt:lpstr>cst_wskakunin_kanri6_JIMU_SIKAKU</vt:lpstr>
      <vt:lpstr>cst_wskakunin_kanri6_JIMU_TOUROKU_KIKAN</vt:lpstr>
      <vt:lpstr>cst_wskakunin_kanri6_KENTIKUSI_NO</vt:lpstr>
      <vt:lpstr>cst_wskakunin_kanri6_NAME</vt:lpstr>
      <vt:lpstr>cst_wskakunin_kanri6_SIKAKU</vt:lpstr>
      <vt:lpstr>cst_wskakunin_kanri6_TEL</vt:lpstr>
      <vt:lpstr>cst_wskakunin_kanri6_TOUROKU_KIKAN</vt:lpstr>
      <vt:lpstr>cst_wskakunin_kanri6_ZIP</vt:lpstr>
      <vt:lpstr>cst_wskakunin_kanri7__address</vt:lpstr>
      <vt:lpstr>cst_wskakunin_kanri7__sikaku</vt:lpstr>
      <vt:lpstr>cst_wskakunin_kanri7_DOC</vt:lpstr>
      <vt:lpstr>cst_wskakunin_kanri7_JIMU__sikaku</vt:lpstr>
      <vt:lpstr>cst_wskakunin_kanri7_JIMU_NAME</vt:lpstr>
      <vt:lpstr>cst_wskakunin_kanri7_JIMU_NO</vt:lpstr>
      <vt:lpstr>cst_wskakunin_kanri7_JIMU_SIKAKU</vt:lpstr>
      <vt:lpstr>cst_wskakunin_kanri7_JIMU_TOUROKU_KIKAN</vt:lpstr>
      <vt:lpstr>cst_wskakunin_kanri7_KENTIKUSI_NO</vt:lpstr>
      <vt:lpstr>cst_wskakunin_kanri7_NAME</vt:lpstr>
      <vt:lpstr>cst_wskakunin_kanri7_SIKAKU</vt:lpstr>
      <vt:lpstr>cst_wskakunin_kanri7_TEL</vt:lpstr>
      <vt:lpstr>cst_wskakunin_kanri7_TOUROKU_KIKAN</vt:lpstr>
      <vt:lpstr>cst_wskakunin_kanri7_ZIP</vt:lpstr>
      <vt:lpstr>cst_wskakunin_kanri8__address</vt:lpstr>
      <vt:lpstr>cst_wskakunin_kanri8__sikaku</vt:lpstr>
      <vt:lpstr>cst_wskakunin_kanri8_DOC</vt:lpstr>
      <vt:lpstr>cst_wskakunin_kanri8_JIMU__sikaku</vt:lpstr>
      <vt:lpstr>cst_wskakunin_kanri8_JIMU_NAME</vt:lpstr>
      <vt:lpstr>cst_wskakunin_kanri8_JIMU_NO</vt:lpstr>
      <vt:lpstr>cst_wskakunin_kanri8_JIMU_SIKAKU</vt:lpstr>
      <vt:lpstr>cst_wskakunin_kanri8_JIMU_TOUROKU_KIKAN</vt:lpstr>
      <vt:lpstr>cst_wskakunin_kanri8_KENTIKUSI_NO</vt:lpstr>
      <vt:lpstr>cst_wskakunin_kanri8_NAME</vt:lpstr>
      <vt:lpstr>cst_wskakunin_kanri8_SIKAKU</vt:lpstr>
      <vt:lpstr>cst_wskakunin_kanri8_TEL</vt:lpstr>
      <vt:lpstr>cst_wskakunin_kanri8_TOUROKU_KIKAN</vt:lpstr>
      <vt:lpstr>cst_wskakunin_kanri8_ZIP</vt:lpstr>
      <vt:lpstr>cst_wskakunin_kanri9__address</vt:lpstr>
      <vt:lpstr>cst_wskakunin_kanri9__sikaku</vt:lpstr>
      <vt:lpstr>cst_wskakunin_kanri9_DOC</vt:lpstr>
      <vt:lpstr>cst_wskakunin_kanri9_JIMU__sikaku</vt:lpstr>
      <vt:lpstr>cst_wskakunin_kanri9_JIMU_NAME</vt:lpstr>
      <vt:lpstr>cst_wskakunin_kanri9_JIMU_NO</vt:lpstr>
      <vt:lpstr>cst_wskakunin_kanri9_JIMU_SIKAKU</vt:lpstr>
      <vt:lpstr>cst_wskakunin_kanri9_JIMU_TOUROKU_KIKAN</vt:lpstr>
      <vt:lpstr>cst_wskakunin_kanri9_KENTIKUSI_NO</vt:lpstr>
      <vt:lpstr>cst_wskakunin_kanri9_NAME</vt:lpstr>
      <vt:lpstr>cst_wskakunin_kanri9_SIKAKU</vt:lpstr>
      <vt:lpstr>cst_wskakunin_kanri9_TEL</vt:lpstr>
      <vt:lpstr>cst_wskakunin_kanri9_TOUROKU_KIKAN</vt:lpstr>
      <vt:lpstr>cst_wskakunin_kanri9_ZIP</vt:lpstr>
      <vt:lpstr>cst_wskakunin_keibi_henkou01_HENKOU_GAIYOU</vt:lpstr>
      <vt:lpstr>cst_wskakunin_keibi_henkou01_HENKOU_SYURUI</vt:lpstr>
      <vt:lpstr>cst_wskakunin_KENPEI_RITU</vt:lpstr>
      <vt:lpstr>cst_wskakunin_KENPEI_RITU_A</vt:lpstr>
      <vt:lpstr>cst_wskakunin_KENPEI_RITU_B</vt:lpstr>
      <vt:lpstr>cst_wskakunin_KENPEI_RITU_C</vt:lpstr>
      <vt:lpstr>cst_wskakunin_KENPEI_RITU_D</vt:lpstr>
      <vt:lpstr>cst_wskakunin_KENSA_YUKA_MENSEKI_select</vt:lpstr>
      <vt:lpstr>cst_wskakunin_KENTIKU_MENSEKI_IGAI</vt:lpstr>
      <vt:lpstr>cst_wskakunin_KENTIKU_MENSEKI_SHINSEI</vt:lpstr>
      <vt:lpstr>cst_wskakunin_KENTIKU_MENSEKI_TOTAL</vt:lpstr>
      <vt:lpstr>cst_wskakunin_KENTIKU_NINSYO_NO</vt:lpstr>
      <vt:lpstr>cst_wskakunin_KIKAN_NAME</vt:lpstr>
      <vt:lpstr>cst_wskakunin_KOUJI_DAI_MOYOUGAE_box</vt:lpstr>
      <vt:lpstr>cst_wskakunin_KOUJI_DAI_SYUUZEN_box</vt:lpstr>
      <vt:lpstr>cst_wskakunin_KOUJI_ITEN_box</vt:lpstr>
      <vt:lpstr>cst_wskakunin_KOUJI_KAITIKU_box</vt:lpstr>
      <vt:lpstr>cst_wskakunin_KOUJI_KANRYOU_DATE_select</vt:lpstr>
      <vt:lpstr>cst_wskakunin_KOUJI_KANRYOU_YOTEI_DATE</vt:lpstr>
      <vt:lpstr>cst_wskakunin_KOUJI_KANRYOU_YOTEI_DATE_select</vt:lpstr>
      <vt:lpstr>cst_wskakunin_KOUJI_SETUBI_box</vt:lpstr>
      <vt:lpstr>cst_wskakunin_KOUJI_SINTIKU_box</vt:lpstr>
      <vt:lpstr>cst_wskakunin_KOUJI_TYAKUSYU_DATE_select</vt:lpstr>
      <vt:lpstr>cst_wskakunin_KOUJI_TYAKUSYU_YOTEI_DATE</vt:lpstr>
      <vt:lpstr>cst_wskakunin_KOUJI_YOUTOHENKOU_box</vt:lpstr>
      <vt:lpstr>cst_wskakunin_KOUJI_zoukaitiku_box</vt:lpstr>
      <vt:lpstr>cst_wskakunin_KOUJI_ZOUTIKU_box</vt:lpstr>
      <vt:lpstr>cst_wskakunin_koutei_ikou01_KOUTEI_DATE</vt:lpstr>
      <vt:lpstr>cst_wskakunin_koutei_ikou01_KOUTEI_DATE_inter1</vt:lpstr>
      <vt:lpstr>cst_wskakunin_koutei_ikou01_KOUTEI_DATE_inter2</vt:lpstr>
      <vt:lpstr>cst_wskakunin_koutei_ikou01_KOUTEI_KAISUU</vt:lpstr>
      <vt:lpstr>cst_wskakunin_koutei_ikou01_KOUTEI_KAISUU_inter1</vt:lpstr>
      <vt:lpstr>cst_wskakunin_koutei_ikou01_KOUTEI_KAISUU_inter2</vt:lpstr>
      <vt:lpstr>cst_wskakunin_koutei_ikou01_KOUTEI_TEXT</vt:lpstr>
      <vt:lpstr>cst_wskakunin_koutei_ikou01_KOUTEI_TEXT_inter1</vt:lpstr>
      <vt:lpstr>cst_wskakunin_koutei_ikou01_KOUTEI_TEXT_inter2</vt:lpstr>
      <vt:lpstr>cst_wskakunin_koutei_ikou02_KOUTEI_DATE</vt:lpstr>
      <vt:lpstr>cst_wskakunin_koutei_ikou02_KOUTEI_DATE_inter1</vt:lpstr>
      <vt:lpstr>cst_wskakunin_koutei_ikou02_KOUTEI_DATE_inter2</vt:lpstr>
      <vt:lpstr>cst_wskakunin_koutei_ikou02_KOUTEI_KAISUU</vt:lpstr>
      <vt:lpstr>cst_wskakunin_koutei_ikou02_KOUTEI_KAISUU_inter1</vt:lpstr>
      <vt:lpstr>cst_wskakunin_koutei_ikou02_KOUTEI_KAISUU_inter2</vt:lpstr>
      <vt:lpstr>cst_wskakunin_koutei_ikou02_KOUTEI_TEXT</vt:lpstr>
      <vt:lpstr>cst_wskakunin_koutei_ikou02_KOUTEI_TEXT_inter1</vt:lpstr>
      <vt:lpstr>cst_wskakunin_koutei_ikou02_KOUTEI_TEXT_inter2</vt:lpstr>
      <vt:lpstr>cst_wskakunin_koutei_izen01_INTER_ISSUE_DATE</vt:lpstr>
      <vt:lpstr>cst_wskakunin_koutei_izen01_INTER_ISSUE_DATE_inter1</vt:lpstr>
      <vt:lpstr>cst_wskakunin_koutei_izen01_INTER_ISSUE_DATE_inter2</vt:lpstr>
      <vt:lpstr>cst_wskakunin_koutei_izen01_INTER_ISSUE_NAME</vt:lpstr>
      <vt:lpstr>cst_wskakunin_koutei_izen01_INTER_ISSUE_NAME_inter1</vt:lpstr>
      <vt:lpstr>cst_wskakunin_koutei_izen01_INTER_ISSUE_NAME_inter2</vt:lpstr>
      <vt:lpstr>cst_wskakunin_koutei_izen01_INTER_ISSUE_NO</vt:lpstr>
      <vt:lpstr>cst_wskakunin_koutei_izen01_INTER_ISSUE_NO_inter1</vt:lpstr>
      <vt:lpstr>cst_wskakunin_koutei_izen01_INTER_ISSUE_NO_inter2</vt:lpstr>
      <vt:lpstr>cst_wskakunin_koutei_izen01_KOUTEI_KAISUU</vt:lpstr>
      <vt:lpstr>cst_wskakunin_koutei_izen01_KOUTEI_KAISUU_inter1</vt:lpstr>
      <vt:lpstr>cst_wskakunin_koutei_izen01_KOUTEI_KAISUU_inter2</vt:lpstr>
      <vt:lpstr>cst_wskakunin_koutei_izen01_KOUTEI_TEXT</vt:lpstr>
      <vt:lpstr>cst_wskakunin_koutei_izen01_KOUTEI_TEXT_inter1</vt:lpstr>
      <vt:lpstr>cst_wskakunin_koutei_izen01_KOUTEI_TEXT_inter2</vt:lpstr>
      <vt:lpstr>cst_wskakunin_koutei_izen02_INTER_ISSUE_DATE</vt:lpstr>
      <vt:lpstr>cst_wskakunin_koutei_izen02_INTER_ISSUE_DATE_inter1</vt:lpstr>
      <vt:lpstr>cst_wskakunin_koutei_izen02_INTER_ISSUE_DATE_inter2</vt:lpstr>
      <vt:lpstr>cst_wskakunin_koutei_izen02_INTER_ISSUE_NAME</vt:lpstr>
      <vt:lpstr>cst_wskakunin_koutei_izen02_INTER_ISSUE_NAME_inter1</vt:lpstr>
      <vt:lpstr>cst_wskakunin_koutei_izen02_INTER_ISSUE_NAME_inter2</vt:lpstr>
      <vt:lpstr>cst_wskakunin_koutei_izen02_INTER_ISSUE_NO</vt:lpstr>
      <vt:lpstr>cst_wskakunin_koutei_izen02_INTER_ISSUE_NO_inter1</vt:lpstr>
      <vt:lpstr>cst_wskakunin_koutei_izen02_INTER_ISSUE_NO_inter2</vt:lpstr>
      <vt:lpstr>cst_wskakunin_koutei_izen02_KOUTEI_KAISUU</vt:lpstr>
      <vt:lpstr>cst_wskakunin_koutei_izen02_KOUTEI_KAISUU_inter1</vt:lpstr>
      <vt:lpstr>cst_wskakunin_koutei_izen02_KOUTEI_KAISUU_inter2</vt:lpstr>
      <vt:lpstr>cst_wskakunin_koutei_izen02_KOUTEI_TEXT</vt:lpstr>
      <vt:lpstr>cst_wskakunin_koutei_izen02_KOUTEI_TEXT_inter1</vt:lpstr>
      <vt:lpstr>cst_wskakunin_koutei_izen02_KOUTEI_TEXT_inter2</vt:lpstr>
      <vt:lpstr>cst_wskakunin_koutei_izen03_INTER_ISSUE_DATE</vt:lpstr>
      <vt:lpstr>cst_wskakunin_koutei_izen03_INTER_ISSUE_NAME</vt:lpstr>
      <vt:lpstr>cst_wskakunin_koutei_izen03_INTER_ISSUE_NO</vt:lpstr>
      <vt:lpstr>cst_wskakunin_koutei_izen03_KOUTEI_KAISUU</vt:lpstr>
      <vt:lpstr>cst_wskakunin_koutei_izen03_KOUTEI_TEXT</vt:lpstr>
      <vt:lpstr>cst_wskakunin_koutei_izen04_INTER_ISSUE_DATE</vt:lpstr>
      <vt:lpstr>cst_wskakunin_koutei_izen04_INTER_ISSUE_NAME</vt:lpstr>
      <vt:lpstr>cst_wskakunin_koutei_izen04_INTER_ISSUE_NO</vt:lpstr>
      <vt:lpstr>cst_wskakunin_koutei_izen04_KOUTEI_KAISUU</vt:lpstr>
      <vt:lpstr>cst_wskakunin_koutei_izen04_KOUTEI_TEXT</vt:lpstr>
      <vt:lpstr>cst_wskakunin_koutei_keika01_INTER_ISSUE_DATE_select</vt:lpstr>
      <vt:lpstr>cst_wskakunin_koutei_keika01_INTER_ISSUE_NAME_select</vt:lpstr>
      <vt:lpstr>cst_wskakunin_koutei_keika01_INTER_ISSUE_NO_select</vt:lpstr>
      <vt:lpstr>cst_wskakunin_koutei_keika01_KOUTEI_KAISUU_select</vt:lpstr>
      <vt:lpstr>cst_wskakunin_koutei_keika01_KOUTEI_TEXT_select</vt:lpstr>
      <vt:lpstr>cst_wskakunin_koutei_keika02_INTER_ISSUE_DATE_select</vt:lpstr>
      <vt:lpstr>cst_wskakunin_koutei_keika02_INTER_ISSUE_NAME_select</vt:lpstr>
      <vt:lpstr>cst_wskakunin_koutei_keika02_INTER_ISSUE_NO_select</vt:lpstr>
      <vt:lpstr>cst_wskakunin_koutei_keika02_KOUTEI_KAISUU_select</vt:lpstr>
      <vt:lpstr>cst_wskakunin_koutei_keika02_KOUTEI_TEXT_select</vt:lpstr>
      <vt:lpstr>cst_wskakunin_koutei01_INTER_ISSUE_DATE</vt:lpstr>
      <vt:lpstr>cst_wskakunin_koutei01_INTER_ISSUE_NAME</vt:lpstr>
      <vt:lpstr>cst_wskakunin_koutei01_INTER_ISSUE_NO</vt:lpstr>
      <vt:lpstr>cst_wskakunin_koutei01_KOUTEI_DATE</vt:lpstr>
      <vt:lpstr>cst_wskakunin_koutei01_KOUTEI_KAISUU</vt:lpstr>
      <vt:lpstr>cst_wskakunin_koutei01_KOUTEI_TEXT</vt:lpstr>
      <vt:lpstr>cst_wskakunin_koutei02_INTER_ISSUE_DATE</vt:lpstr>
      <vt:lpstr>cst_wskakunin_koutei02_INTER_ISSUE_NAME</vt:lpstr>
      <vt:lpstr>cst_wskakunin_koutei02_INTER_ISSUE_NO</vt:lpstr>
      <vt:lpstr>cst_wskakunin_koutei02_KOUTEI_DATE</vt:lpstr>
      <vt:lpstr>cst_wskakunin_koutei02_KOUTEI_KAISUU</vt:lpstr>
      <vt:lpstr>cst_wskakunin_koutei02_KOUTEI_TEXT</vt:lpstr>
      <vt:lpstr>cst_wskakunin_koutei03_KOUTEI_DATE</vt:lpstr>
      <vt:lpstr>cst_wskakunin_koutei03_KOUTEI_KAISUU</vt:lpstr>
      <vt:lpstr>cst_wskakunin_koutei03_KOUTEI_TEXT</vt:lpstr>
      <vt:lpstr>cst_wskakunin_koutei04_KOUTEI_DATE</vt:lpstr>
      <vt:lpstr>cst_wskakunin_koutei04_KOUTEI_KAISUU</vt:lpstr>
      <vt:lpstr>cst_wskakunin_koutei04_KOUTEI_TEXT</vt:lpstr>
      <vt:lpstr>cst_wskakunin_KOUZOU</vt:lpstr>
      <vt:lpstr>cst_wskakunin_KOUZOU_mokuzou</vt:lpstr>
      <vt:lpstr>cst_wskakunin_KOUZOU_zairai</vt:lpstr>
      <vt:lpstr>cst_wskakunin_KOUZOU1</vt:lpstr>
      <vt:lpstr>cst_wskakunin_KOUZOU2</vt:lpstr>
      <vt:lpstr>cst_wskakunin_KUIKI_HISETTEI</vt:lpstr>
      <vt:lpstr>cst_wskakunin_KUIKI_JYUN_TOSHI</vt:lpstr>
      <vt:lpstr>cst_wskakunin_KUIKI_KUIKIGAI</vt:lpstr>
      <vt:lpstr>cst_wskakunin_KUIKI_SIGAIKA</vt:lpstr>
      <vt:lpstr>cst_wskakunin_KUIKI_TOSI</vt:lpstr>
      <vt:lpstr>cst_wskakunin_KUIKI_TYOSEI</vt:lpstr>
      <vt:lpstr>cst_wskakunin_kyoka_HOUREI_all</vt:lpstr>
      <vt:lpstr>cst_wskakunin_kyoka01_BIKOU</vt:lpstr>
      <vt:lpstr>cst_wskakunin_kyoka01_HOUREI</vt:lpstr>
      <vt:lpstr>cst_wskakunin_kyoka01_JOUKOU</vt:lpstr>
      <vt:lpstr>cst_wskakunin_kyoka01_KYOKA_DATE</vt:lpstr>
      <vt:lpstr>cst_wskakunin_kyoka01_KYOKA_NO</vt:lpstr>
      <vt:lpstr>cst_wskakunin_kyoka02_BIKOU</vt:lpstr>
      <vt:lpstr>cst_wskakunin_kyoka02_HOUREI</vt:lpstr>
      <vt:lpstr>cst_wskakunin_kyoka02_JOUKOU</vt:lpstr>
      <vt:lpstr>cst_wskakunin_kyoka02_KYOKA_DATE</vt:lpstr>
      <vt:lpstr>cst_wskakunin_kyoka02_KYOKA_NO</vt:lpstr>
      <vt:lpstr>cst_wskakunin_kyoka03_BIKOU</vt:lpstr>
      <vt:lpstr>cst_wskakunin_kyoka03_HOUREI</vt:lpstr>
      <vt:lpstr>cst_wskakunin_kyoka03_JOUKOU</vt:lpstr>
      <vt:lpstr>cst_wskakunin_kyoka03_KYOKA_DATE</vt:lpstr>
      <vt:lpstr>cst_wskakunin_kyoka03_KYOKA_NO</vt:lpstr>
      <vt:lpstr>cst_wskakunin_LAST_ISSUE_DATE</vt:lpstr>
      <vt:lpstr>cst_wskakunin_LAST_ISSUE_NAME</vt:lpstr>
      <vt:lpstr>cst_wskakunin_LAST_ISSUE_NO</vt:lpstr>
      <vt:lpstr>cst_wskakunin_LIMIT_KENPEI_RITU</vt:lpstr>
      <vt:lpstr>cst_wskakunin_LIMIT_YOUSEKI_RITU</vt:lpstr>
      <vt:lpstr>cst_wskakunin_NOBE_MENSEKI</vt:lpstr>
      <vt:lpstr>cst_wskakunin_NOBE_MENSEKI_BITIKUSOUKO_IGAI</vt:lpstr>
      <vt:lpstr>cst_wskakunin_NOBE_MENSEKI_BITIKUSOUKO_SHINSEI</vt:lpstr>
      <vt:lpstr>cst_wskakunin_NOBE_MENSEKI_BITIKUSOUKO_TOTAL</vt:lpstr>
      <vt:lpstr>cst_wskakunin_NOBE_MENSEKI_BUILD_IGAI</vt:lpstr>
      <vt:lpstr>cst_wskakunin_NOBE_MENSEKI_BUILD_SHINSEI</vt:lpstr>
      <vt:lpstr>cst_wskakunin_NOBE_MENSEKI_BUILD_TOTAL</vt:lpstr>
      <vt:lpstr>cst_wskakunin_NOBE_MENSEKI_CHOSUISOU_IGAI</vt:lpstr>
      <vt:lpstr>cst_wskakunin_NOBE_MENSEKI_CHOSUISOU_SHINSEI</vt:lpstr>
      <vt:lpstr>cst_wskakunin_NOBE_MENSEKI_CHOSUISOU_TOTAL</vt:lpstr>
      <vt:lpstr>cst_wskakunin_NOBE_MENSEKI_JIKAHATUDEN_IGAI</vt:lpstr>
      <vt:lpstr>cst_wskakunin_NOBE_MENSEKI_JIKAHATUDEN_SHINSEI</vt:lpstr>
      <vt:lpstr>cst_wskakunin_NOBE_MENSEKI_JIKAHATUDEN_TOTAL</vt:lpstr>
      <vt:lpstr>cst_wskakunin_NOBE_MENSEKI_JYUTAKU_IGAI</vt:lpstr>
      <vt:lpstr>cst_wskakunin_NOBE_MENSEKI_JYUTAKU_SHINSEI</vt:lpstr>
      <vt:lpstr>cst_wskakunin_NOBE_MENSEKI_JYUTAKU_TOTAL</vt:lpstr>
      <vt:lpstr>cst_wskakunin_NOBE_MENSEKI_KYOYOU_IGAI</vt:lpstr>
      <vt:lpstr>cst_wskakunin_NOBE_MENSEKI_KYOYOU_SHINSEI</vt:lpstr>
      <vt:lpstr>cst_wskakunin_NOBE_MENSEKI_KYOYOU_TOTAL</vt:lpstr>
      <vt:lpstr>cst_wskakunin_NOBE_MENSEKI_ROUJIN_IGAI</vt:lpstr>
      <vt:lpstr>cst_wskakunin_NOBE_MENSEKI_ROUJIN_SHINSEI</vt:lpstr>
      <vt:lpstr>cst_wskakunin_NOBE_MENSEKI_ROUJIN_TOTAL</vt:lpstr>
      <vt:lpstr>cst_wskakunin_NOBE_MENSEKI_SYAKO_IGAI</vt:lpstr>
      <vt:lpstr>cst_wskakunin_NOBE_MENSEKI_SYAKO_SHINSEI</vt:lpstr>
      <vt:lpstr>cst_wskakunin_NOBE_MENSEKI_SYAKO_TOTAL</vt:lpstr>
      <vt:lpstr>cst_wskakunin_NOBE_MENSEKI_SYOUKOURO_IGAI</vt:lpstr>
      <vt:lpstr>cst_wskakunin_NOBE_MENSEKI_SYOUKOURO_SHINSEI</vt:lpstr>
      <vt:lpstr>cst_wskakunin_NOBE_MENSEKI_SYOUKOURO_TOTAL</vt:lpstr>
      <vt:lpstr>cst_wskakunin_NOBE_MENSEKI_TAKUHAI_IGAI</vt:lpstr>
      <vt:lpstr>cst_wskakunin_NOBE_MENSEKI_TAKUHAI_SHINSEI</vt:lpstr>
      <vt:lpstr>cst_wskakunin_NOBE_MENSEKI_TAKUHAI_TOTAL</vt:lpstr>
      <vt:lpstr>cst_wskakunin_NOBE_MENSEKI_TIKAI_IGAI</vt:lpstr>
      <vt:lpstr>cst_wskakunin_NOBE_MENSEKI_TIKAI_SHINSEI</vt:lpstr>
      <vt:lpstr>cst_wskakunin_NOBE_MENSEKI_TIKAI_TOTAL</vt:lpstr>
      <vt:lpstr>cst_wskakunin_NOBE_MENSEKI_TIKUDENTI_IGAI</vt:lpstr>
      <vt:lpstr>cst_wskakunin_NOBE_MENSEKI_TIKUDENTI_SHINSEI</vt:lpstr>
      <vt:lpstr>cst_wskakunin_NOBE_MENSEKI_TIKUDENTI_TOTAL</vt:lpstr>
      <vt:lpstr>cst_wskakunin_owner1__address</vt:lpstr>
      <vt:lpstr>cst_wskakunin_owner1__line1</vt:lpstr>
      <vt:lpstr>cst_wskakunin_owner1__line2</vt:lpstr>
      <vt:lpstr>cst_wskakunin_owner1__space</vt:lpstr>
      <vt:lpstr>cst_wskakunin_owner1__space_KANA</vt:lpstr>
      <vt:lpstr>cst_wskakunin_owner1__space_KANA2</vt:lpstr>
      <vt:lpstr>cst_wskakunin_owner1__space2</vt:lpstr>
      <vt:lpstr>cst_wskakunin_owner1__space3</vt:lpstr>
      <vt:lpstr>cst_wskakunin_owner1__space4</vt:lpstr>
      <vt:lpstr>cst_wskakunin_owner1_JIMU_NAME</vt:lpstr>
      <vt:lpstr>cst_wskakunin_owner1_JIMU_NAME_KANA</vt:lpstr>
      <vt:lpstr>cst_wskakunin_owner1_NAME</vt:lpstr>
      <vt:lpstr>cst_wskakunin_owner1_NAME_KANA</vt:lpstr>
      <vt:lpstr>cst_wskakunin_owner1_POST</vt:lpstr>
      <vt:lpstr>cst_wskakunin_owner1_POST_KANA</vt:lpstr>
      <vt:lpstr>cst_wskakunin_owner1_TEL</vt:lpstr>
      <vt:lpstr>cst_wskakunin_owner1_ZIP</vt:lpstr>
      <vt:lpstr>cst_wskakunin_owner1_ZIP2</vt:lpstr>
      <vt:lpstr>cst_wskakunin_owner2__address</vt:lpstr>
      <vt:lpstr>cst_wskakunin_owner2__space</vt:lpstr>
      <vt:lpstr>cst_wskakunin_owner2__space2</vt:lpstr>
      <vt:lpstr>cst_wskakunin_owner2__space3</vt:lpstr>
      <vt:lpstr>cst_wskakunin_owner2_JIMU_NAME</vt:lpstr>
      <vt:lpstr>cst_wskakunin_owner2_JIMU_NAME_KANA</vt:lpstr>
      <vt:lpstr>cst_wskakunin_owner2_NAME</vt:lpstr>
      <vt:lpstr>cst_wskakunin_owner2_NAME_KANA</vt:lpstr>
      <vt:lpstr>cst_wskakunin_owner2_POST</vt:lpstr>
      <vt:lpstr>cst_wskakunin_owner2_POST_KANA</vt:lpstr>
      <vt:lpstr>cst_wskakunin_owner2_TEL</vt:lpstr>
      <vt:lpstr>cst_wskakunin_owner2_ZIP</vt:lpstr>
      <vt:lpstr>cst_wskakunin_owner3__address</vt:lpstr>
      <vt:lpstr>cst_wskakunin_owner3__space</vt:lpstr>
      <vt:lpstr>cst_wskakunin_owner3__space2</vt:lpstr>
      <vt:lpstr>cst_wskakunin_owner3_JIMU_NAME</vt:lpstr>
      <vt:lpstr>cst_wskakunin_owner3_JIMU_NAME_KANA</vt:lpstr>
      <vt:lpstr>cst_wskakunin_owner3_NAME</vt:lpstr>
      <vt:lpstr>cst_wskakunin_owner3_NAME_KANA</vt:lpstr>
      <vt:lpstr>cst_wskakunin_owner3_POST</vt:lpstr>
      <vt:lpstr>cst_wskakunin_owner3_POST_KANA</vt:lpstr>
      <vt:lpstr>cst_wskakunin_owner3_TEL</vt:lpstr>
      <vt:lpstr>cst_wskakunin_owner3_ZIP</vt:lpstr>
      <vt:lpstr>cst_wskakunin_owner4__address</vt:lpstr>
      <vt:lpstr>cst_wskakunin_owner4__space</vt:lpstr>
      <vt:lpstr>cst_wskakunin_owner4_JIMU_NAME</vt:lpstr>
      <vt:lpstr>cst_wskakunin_owner4_JIMU_NAME_KANA</vt:lpstr>
      <vt:lpstr>cst_wskakunin_owner4_NAME</vt:lpstr>
      <vt:lpstr>cst_wskakunin_owner4_NAME_KANA</vt:lpstr>
      <vt:lpstr>cst_wskakunin_owner4_POST</vt:lpstr>
      <vt:lpstr>cst_wskakunin_owner4_POST_KANA</vt:lpstr>
      <vt:lpstr>cst_wskakunin_owner4_TEL</vt:lpstr>
      <vt:lpstr>cst_wskakunin_owner4_ZIP</vt:lpstr>
      <vt:lpstr>cst_wskakunin_owner5__address</vt:lpstr>
      <vt:lpstr>cst_wskakunin_owner5__space</vt:lpstr>
      <vt:lpstr>cst_wskakunin_owner5_JIMU_NAME</vt:lpstr>
      <vt:lpstr>cst_wskakunin_owner5_JIMU_NAME_KANA</vt:lpstr>
      <vt:lpstr>cst_wskakunin_owner5_NAME</vt:lpstr>
      <vt:lpstr>cst_wskakunin_owner5_NAME_KANA</vt:lpstr>
      <vt:lpstr>cst_wskakunin_owner5_POST</vt:lpstr>
      <vt:lpstr>cst_wskakunin_owner5_POST_KANA</vt:lpstr>
      <vt:lpstr>cst_wskakunin_owner5_TEL</vt:lpstr>
      <vt:lpstr>cst_wskakunin_owner5_ZIP</vt:lpstr>
      <vt:lpstr>cst_wskakunin_owner6__address</vt:lpstr>
      <vt:lpstr>cst_wskakunin_owner6__space2</vt:lpstr>
      <vt:lpstr>cst_wskakunin_owner6__space3</vt:lpstr>
      <vt:lpstr>cst_wskakunin_owner6_JIMU_NAME</vt:lpstr>
      <vt:lpstr>cst_wskakunin_owner6_JIMU_NAME_KANA</vt:lpstr>
      <vt:lpstr>cst_wskakunin_owner6_NAME</vt:lpstr>
      <vt:lpstr>cst_wskakunin_owner6_NAME_KANA</vt:lpstr>
      <vt:lpstr>cst_wskakunin_owner6_POST</vt:lpstr>
      <vt:lpstr>cst_wskakunin_owner6_POST_KANA</vt:lpstr>
      <vt:lpstr>cst_wskakunin_owner6_TEL</vt:lpstr>
      <vt:lpstr>cst_wskakunin_owner6_ZIP</vt:lpstr>
      <vt:lpstr>cst_wskakunin_owner7__address</vt:lpstr>
      <vt:lpstr>cst_wskakunin_owner7_JIMU_NAME</vt:lpstr>
      <vt:lpstr>cst_wskakunin_owner7_JIMU_NAME_KANA</vt:lpstr>
      <vt:lpstr>cst_wskakunin_owner7_NAME</vt:lpstr>
      <vt:lpstr>cst_wskakunin_owner7_NAME_KANA</vt:lpstr>
      <vt:lpstr>cst_wskakunin_owner7_POST</vt:lpstr>
      <vt:lpstr>cst_wskakunin_owner7_POST_KANA</vt:lpstr>
      <vt:lpstr>cst_wskakunin_owner7_TEL</vt:lpstr>
      <vt:lpstr>cst_wskakunin_owner7_ZIP</vt:lpstr>
      <vt:lpstr>cst_wskakunin_owner8__address</vt:lpstr>
      <vt:lpstr>cst_wskakunin_owner8_JIMU_NAME</vt:lpstr>
      <vt:lpstr>cst_wskakunin_owner8_JIMU_NAME_KANA</vt:lpstr>
      <vt:lpstr>cst_wskakunin_owner8_NAME</vt:lpstr>
      <vt:lpstr>cst_wskakunin_owner8_NAME_KANA</vt:lpstr>
      <vt:lpstr>cst_wskakunin_owner8_POST</vt:lpstr>
      <vt:lpstr>cst_wskakunin_owner8_POST_KANA</vt:lpstr>
      <vt:lpstr>cst_wskakunin_owner8_TEL</vt:lpstr>
      <vt:lpstr>cst_wskakunin_owner8_ZIP</vt:lpstr>
      <vt:lpstr>cst_wskakunin_owner9__address</vt:lpstr>
      <vt:lpstr>cst_wskakunin_owner9_JIMU_NAME</vt:lpstr>
      <vt:lpstr>cst_wskakunin_owner9_JIMU_NAME_KANA</vt:lpstr>
      <vt:lpstr>cst_wskakunin_owner9_NAME</vt:lpstr>
      <vt:lpstr>cst_wskakunin_owner9_NAME_KANA</vt:lpstr>
      <vt:lpstr>cst_wskakunin_owner9_POST</vt:lpstr>
      <vt:lpstr>cst_wskakunin_owner9_POST_KANA</vt:lpstr>
      <vt:lpstr>cst_wskakunin_owner9_TEL</vt:lpstr>
      <vt:lpstr>cst_wskakunin_owner9_ZIP</vt:lpstr>
      <vt:lpstr>cst_wskakunin_P1_HENKOU_GAIYOU</vt:lpstr>
      <vt:lpstr>cst_wskakunin_P2_BIKOU</vt:lpstr>
      <vt:lpstr>cst_wskakunin_P3_BIKOU</vt:lpstr>
      <vt:lpstr>cst_wskakunin_P3_SONOTA</vt:lpstr>
      <vt:lpstr>cst_wskakunin_p4_1__kouji</vt:lpstr>
      <vt:lpstr>cst_wskakunin_p4_1_KAISU_TIKAI</vt:lpstr>
      <vt:lpstr>cst_wskakunin_p4_1_KAISU_TIKAI_NOZOKU</vt:lpstr>
      <vt:lpstr>cst_wskakunin_p4_1_KAISU_YUKA_MENSEKI_SHINSEI</vt:lpstr>
      <vt:lpstr>cst_wskakunin_p4_1_KOUZOU1</vt:lpstr>
      <vt:lpstr>cst_wskakunin_p4_1_KOUZOU2</vt:lpstr>
      <vt:lpstr>cst_wskakunin_p4_1_p5_1_KAI</vt:lpstr>
      <vt:lpstr>cst_wskakunin_p4_1_p5_1_P4_MENSEKI_SHINSEI</vt:lpstr>
      <vt:lpstr>cst_wskakunin_p4_1_p5_2_KAI</vt:lpstr>
      <vt:lpstr>cst_wskakunin_p4_1_p5_2_P4_MENSEKI_SHINSEI</vt:lpstr>
      <vt:lpstr>cst_wskakunin_p4_1_p5_3_KAI</vt:lpstr>
      <vt:lpstr>cst_wskakunin_p4_1_p5_3_P4_MENSEKI_SHINSEI</vt:lpstr>
      <vt:lpstr>cst_wskakunin_p4_1_TAKASA_KEN_MAX</vt:lpstr>
      <vt:lpstr>cst_wskakunin_p4_1_TAKASA_MAX</vt:lpstr>
      <vt:lpstr>cst_wskakunin_p4_1_TOKUREI_KAKUNIN_FLAG</vt:lpstr>
      <vt:lpstr>cst_wskakunin_p4_1_TOKUREI_KAKUNIN_FLAG_off</vt:lpstr>
      <vt:lpstr>cst_wskakunin_p4_1_TOKUREI_KAKUNIN_FLAG_on</vt:lpstr>
      <vt:lpstr>cst_wskakunin_p4_1_youto1_YOUTO</vt:lpstr>
      <vt:lpstr>cst_wskakunin_p4_1_youto1_YOUTO_1</vt:lpstr>
      <vt:lpstr>cst_wskakunin_p4_1_youto1_YOUTO_2</vt:lpstr>
      <vt:lpstr>cst_wskakunin_p4_1_youto1_YOUTO_3</vt:lpstr>
      <vt:lpstr>cst_wskakunin_p4_1_youto1_YOUTO_4</vt:lpstr>
      <vt:lpstr>cst_wskakunin_p4_1_youto1_YOUTO_5</vt:lpstr>
      <vt:lpstr>cst_wskakunin_p4_1_youto1_YOUTO_6</vt:lpstr>
      <vt:lpstr>cst_wskakunin_p4_1_youto1_YOUTO_9</vt:lpstr>
      <vt:lpstr>cst_wskakunin_p4_1_youto1_YOUTO_CODE</vt:lpstr>
      <vt:lpstr>cst_wskakunin_PAGE1_ALTERATION_NOTE</vt:lpstr>
      <vt:lpstr>cst_wskakunin_sekkei1__address</vt:lpstr>
      <vt:lpstr>cst_wskakunin_sekkei1__sikaku</vt:lpstr>
      <vt:lpstr>cst_wskakunin_sekkei1_DOC</vt:lpstr>
      <vt:lpstr>cst_wskakunin_sekkei1_JIMU__sikaku</vt:lpstr>
      <vt:lpstr>cst_wskakunin_sekkei1_JIMU_NAME</vt:lpstr>
      <vt:lpstr>cst_wskakunin_sekkei1_JIMU_NO</vt:lpstr>
      <vt:lpstr>cst_wskakunin_sekkei1_JIMU_SIKAKU</vt:lpstr>
      <vt:lpstr>cst_wskakunin_sekkei1_JIMU_TOUROKU_KIKAN</vt:lpstr>
      <vt:lpstr>cst_wskakunin_sekkei1_jimuname_name</vt:lpstr>
      <vt:lpstr>cst_wskakunin_sekkei1_KENTIKUSI_NO</vt:lpstr>
      <vt:lpstr>cst_wskakunin_sekkei1_NAME</vt:lpstr>
      <vt:lpstr>cst_wskakunin_sekkei1_SIKAKU</vt:lpstr>
      <vt:lpstr>cst_wskakunin_sekkei1_TEL</vt:lpstr>
      <vt:lpstr>cst_wskakunin_sekkei1_TOUROKU_KIKAN</vt:lpstr>
      <vt:lpstr>cst_wskakunin_sekkei1_ZIP</vt:lpstr>
      <vt:lpstr>cst_wskakunin_sekkei10__address</vt:lpstr>
      <vt:lpstr>cst_wskakunin_sekkei10__sikaku</vt:lpstr>
      <vt:lpstr>cst_wskakunin_sekkei10_DOC</vt:lpstr>
      <vt:lpstr>cst_wskakunin_sekkei10_JIMU__sikaku</vt:lpstr>
      <vt:lpstr>cst_wskakunin_sekkei10_JIMU_NAME</vt:lpstr>
      <vt:lpstr>cst_wskakunin_sekkei10_JIMU_NO</vt:lpstr>
      <vt:lpstr>cst_wskakunin_sekkei10_JIMU_SIKAKU</vt:lpstr>
      <vt:lpstr>cst_wskakunin_sekkei10_JIMU_TOUROKU_KIKAN</vt:lpstr>
      <vt:lpstr>cst_wskakunin_sekkei10_jimuname_name</vt:lpstr>
      <vt:lpstr>cst_wskakunin_sekkei10_KENTIKUSI_NO</vt:lpstr>
      <vt:lpstr>cst_wskakunin_sekkei10_NAME</vt:lpstr>
      <vt:lpstr>cst_wskakunin_sekkei10_SIKAKU</vt:lpstr>
      <vt:lpstr>cst_wskakunin_sekkei10_TEL</vt:lpstr>
      <vt:lpstr>cst_wskakunin_sekkei10_TOUROKU_KIKAN</vt:lpstr>
      <vt:lpstr>cst_wskakunin_sekkei10_ZIP</vt:lpstr>
      <vt:lpstr>cst_wskakunin_sekkei11__address</vt:lpstr>
      <vt:lpstr>cst_wskakunin_sekkei11__sikaku</vt:lpstr>
      <vt:lpstr>cst_wskakunin_sekkei11_DOC</vt:lpstr>
      <vt:lpstr>cst_wskakunin_sekkei11_JIMU__sikaku</vt:lpstr>
      <vt:lpstr>cst_wskakunin_sekkei11_JIMU_NAME</vt:lpstr>
      <vt:lpstr>cst_wskakunin_sekkei11_JIMU_NO</vt:lpstr>
      <vt:lpstr>cst_wskakunin_sekkei11_JIMU_SIKAKU</vt:lpstr>
      <vt:lpstr>cst_wskakunin_sekkei11_JIMU_TOUROKU_KIKAN</vt:lpstr>
      <vt:lpstr>cst_wskakunin_sekkei11_jimuname_name</vt:lpstr>
      <vt:lpstr>cst_wskakunin_sekkei11_KENTIKUSI_NO</vt:lpstr>
      <vt:lpstr>cst_wskakunin_sekkei11_NAME</vt:lpstr>
      <vt:lpstr>cst_wskakunin_sekkei11_SIKAKU</vt:lpstr>
      <vt:lpstr>cst_wskakunin_sekkei11_TEL</vt:lpstr>
      <vt:lpstr>cst_wskakunin_sekkei11_TOUROKU_KIKAN</vt:lpstr>
      <vt:lpstr>cst_wskakunin_sekkei11_ZIP</vt:lpstr>
      <vt:lpstr>cst_wskakunin_sekkei12__address</vt:lpstr>
      <vt:lpstr>cst_wskakunin_sekkei12__sikaku</vt:lpstr>
      <vt:lpstr>cst_wskakunin_sekkei12_DOC</vt:lpstr>
      <vt:lpstr>cst_wskakunin_sekkei12_JIMU__sikaku</vt:lpstr>
      <vt:lpstr>cst_wskakunin_sekkei12_JIMU_NAME</vt:lpstr>
      <vt:lpstr>cst_wskakunin_sekkei12_JIMU_NO</vt:lpstr>
      <vt:lpstr>cst_wskakunin_sekkei12_JIMU_SIKAKU</vt:lpstr>
      <vt:lpstr>cst_wskakunin_sekkei12_JIMU_TOUROKU_KIKAN</vt:lpstr>
      <vt:lpstr>cst_wskakunin_sekkei12_jimuname_name</vt:lpstr>
      <vt:lpstr>cst_wskakunin_sekkei12_KENTIKUSI_NO</vt:lpstr>
      <vt:lpstr>cst_wskakunin_sekkei12_NAME</vt:lpstr>
      <vt:lpstr>cst_wskakunin_sekkei12_SIKAKU</vt:lpstr>
      <vt:lpstr>cst_wskakunin_sekkei12_TEL</vt:lpstr>
      <vt:lpstr>cst_wskakunin_sekkei12_TOUROKU_KIKAN</vt:lpstr>
      <vt:lpstr>cst_wskakunin_sekkei12_ZIP</vt:lpstr>
      <vt:lpstr>cst_wskakunin_sekkei2__address</vt:lpstr>
      <vt:lpstr>cst_wskakunin_sekkei2__sikaku</vt:lpstr>
      <vt:lpstr>cst_wskakunin_sekkei2_DOC</vt:lpstr>
      <vt:lpstr>cst_wskakunin_sekkei2_JIMU__sikaku</vt:lpstr>
      <vt:lpstr>cst_wskakunin_sekkei2_JIMU_NAME</vt:lpstr>
      <vt:lpstr>cst_wskakunin_sekkei2_JIMU_NO</vt:lpstr>
      <vt:lpstr>cst_wskakunin_sekkei2_JIMU_SIKAKU</vt:lpstr>
      <vt:lpstr>cst_wskakunin_sekkei2_JIMU_TOUROKU_KIKAN</vt:lpstr>
      <vt:lpstr>cst_wskakunin_sekkei2_jimuname_name</vt:lpstr>
      <vt:lpstr>cst_wskakunin_sekkei2_KENTIKUSI_NO</vt:lpstr>
      <vt:lpstr>cst_wskakunin_sekkei2_NAME</vt:lpstr>
      <vt:lpstr>cst_wskakunin_sekkei2_SIKAKU</vt:lpstr>
      <vt:lpstr>cst_wskakunin_sekkei2_TEL</vt:lpstr>
      <vt:lpstr>cst_wskakunin_sekkei2_TOUROKU_KIKAN</vt:lpstr>
      <vt:lpstr>cst_wskakunin_sekkei2_ZIP</vt:lpstr>
      <vt:lpstr>cst_wskakunin_sekkei3__address</vt:lpstr>
      <vt:lpstr>cst_wskakunin_sekkei3__sikaku</vt:lpstr>
      <vt:lpstr>cst_wskakunin_sekkei3_DOC</vt:lpstr>
      <vt:lpstr>cst_wskakunin_sekkei3_JIMU__sikaku</vt:lpstr>
      <vt:lpstr>cst_wskakunin_sekkei3_JIMU_NAME</vt:lpstr>
      <vt:lpstr>cst_wskakunin_sekkei3_JIMU_NO</vt:lpstr>
      <vt:lpstr>cst_wskakunin_sekkei3_JIMU_SIKAKU</vt:lpstr>
      <vt:lpstr>cst_wskakunin_sekkei3_JIMU_TOUROKU_KIKAN</vt:lpstr>
      <vt:lpstr>cst_wskakunin_sekkei3_jimuname_name</vt:lpstr>
      <vt:lpstr>cst_wskakunin_sekkei3_KENTIKUSI_NO</vt:lpstr>
      <vt:lpstr>cst_wskakunin_sekkei3_NAME</vt:lpstr>
      <vt:lpstr>cst_wskakunin_sekkei3_SIKAKU</vt:lpstr>
      <vt:lpstr>cst_wskakunin_sekkei3_TEL</vt:lpstr>
      <vt:lpstr>cst_wskakunin_sekkei3_TOUROKU_KIKAN</vt:lpstr>
      <vt:lpstr>cst_wskakunin_sekkei3_ZIP</vt:lpstr>
      <vt:lpstr>cst_wskakunin_sekkei4__address</vt:lpstr>
      <vt:lpstr>cst_wskakunin_sekkei4__sikaku</vt:lpstr>
      <vt:lpstr>cst_wskakunin_sekkei4_DOC</vt:lpstr>
      <vt:lpstr>cst_wskakunin_sekkei4_JIMU__sikaku</vt:lpstr>
      <vt:lpstr>cst_wskakunin_sekkei4_JIMU_NAME</vt:lpstr>
      <vt:lpstr>cst_wskakunin_sekkei4_JIMU_NO</vt:lpstr>
      <vt:lpstr>cst_wskakunin_sekkei4_JIMU_SIKAKU</vt:lpstr>
      <vt:lpstr>cst_wskakunin_sekkei4_JIMU_TOUROKU_KIKAN</vt:lpstr>
      <vt:lpstr>cst_wskakunin_sekkei4_jimuname_name</vt:lpstr>
      <vt:lpstr>cst_wskakunin_sekkei4_KENTIKUSI_NO</vt:lpstr>
      <vt:lpstr>cst_wskakunin_sekkei4_NAME</vt:lpstr>
      <vt:lpstr>cst_wskakunin_sekkei4_SIKAKU</vt:lpstr>
      <vt:lpstr>cst_wskakunin_sekkei4_TEL</vt:lpstr>
      <vt:lpstr>cst_wskakunin_sekkei4_TOUROKU_KIKAN</vt:lpstr>
      <vt:lpstr>cst_wskakunin_sekkei4_ZIP</vt:lpstr>
      <vt:lpstr>cst_wskakunin_sekkei5__address</vt:lpstr>
      <vt:lpstr>cst_wskakunin_sekkei5__sikaku</vt:lpstr>
      <vt:lpstr>cst_wskakunin_sekkei5_DOC</vt:lpstr>
      <vt:lpstr>cst_wskakunin_sekkei5_JIMU__sikaku</vt:lpstr>
      <vt:lpstr>cst_wskakunin_sekkei5_JIMU_NAME</vt:lpstr>
      <vt:lpstr>cst_wskakunin_sekkei5_JIMU_NO</vt:lpstr>
      <vt:lpstr>cst_wskakunin_sekkei5_JIMU_SIKAKU</vt:lpstr>
      <vt:lpstr>cst_wskakunin_sekkei5_JIMU_TOUROKU_KIKAN</vt:lpstr>
      <vt:lpstr>cst_wskakunin_sekkei5_jimuname_name</vt:lpstr>
      <vt:lpstr>cst_wskakunin_sekkei5_KENTIKUSI_NO</vt:lpstr>
      <vt:lpstr>cst_wskakunin_sekkei5_NAME</vt:lpstr>
      <vt:lpstr>cst_wskakunin_sekkei5_SIKAKU</vt:lpstr>
      <vt:lpstr>cst_wskakunin_sekkei5_TEL</vt:lpstr>
      <vt:lpstr>cst_wskakunin_sekkei5_TOUROKU_KIKAN</vt:lpstr>
      <vt:lpstr>cst_wskakunin_sekkei5_ZIP</vt:lpstr>
      <vt:lpstr>cst_wskakunin_sekkei6__address</vt:lpstr>
      <vt:lpstr>cst_wskakunin_sekkei6__sikaku</vt:lpstr>
      <vt:lpstr>cst_wskakunin_sekkei6_DOC</vt:lpstr>
      <vt:lpstr>cst_wskakunin_sekkei6_JIMU__sikaku</vt:lpstr>
      <vt:lpstr>cst_wskakunin_sekkei6_JIMU_NAME</vt:lpstr>
      <vt:lpstr>cst_wskakunin_sekkei6_JIMU_NO</vt:lpstr>
      <vt:lpstr>cst_wskakunin_sekkei6_JIMU_SIKAKU</vt:lpstr>
      <vt:lpstr>cst_wskakunin_sekkei6_JIMU_TOUROKU_KIKAN</vt:lpstr>
      <vt:lpstr>cst_wskakunin_sekkei6_jimuname_name</vt:lpstr>
      <vt:lpstr>cst_wskakunin_sekkei6_KENTIKUSI_NO</vt:lpstr>
      <vt:lpstr>cst_wskakunin_sekkei6_NAME</vt:lpstr>
      <vt:lpstr>cst_wskakunin_sekkei6_SIKAKU</vt:lpstr>
      <vt:lpstr>cst_wskakunin_sekkei6_TEL</vt:lpstr>
      <vt:lpstr>cst_wskakunin_sekkei6_TOUROKU_KIKAN</vt:lpstr>
      <vt:lpstr>cst_wskakunin_sekkei6_ZIP</vt:lpstr>
      <vt:lpstr>cst_wskakunin_sekkei7__address</vt:lpstr>
      <vt:lpstr>cst_wskakunin_sekkei7__sikaku</vt:lpstr>
      <vt:lpstr>cst_wskakunin_sekkei7_DOC</vt:lpstr>
      <vt:lpstr>cst_wskakunin_sekkei7_JIMU__sikaku</vt:lpstr>
      <vt:lpstr>cst_wskakunin_sekkei7_JIMU_NAME</vt:lpstr>
      <vt:lpstr>cst_wskakunin_sekkei7_JIMU_NO</vt:lpstr>
      <vt:lpstr>cst_wskakunin_sekkei7_JIMU_SIKAKU</vt:lpstr>
      <vt:lpstr>cst_wskakunin_sekkei7_JIMU_TOUROKU_KIKAN</vt:lpstr>
      <vt:lpstr>cst_wskakunin_sekkei7_jimuname_name</vt:lpstr>
      <vt:lpstr>cst_wskakunin_sekkei7_KENTIKUSI_NO</vt:lpstr>
      <vt:lpstr>cst_wskakunin_sekkei7_NAME</vt:lpstr>
      <vt:lpstr>cst_wskakunin_sekkei7_SIKAKU</vt:lpstr>
      <vt:lpstr>cst_wskakunin_sekkei7_TEL</vt:lpstr>
      <vt:lpstr>cst_wskakunin_sekkei7_TOUROKU_KIKAN</vt:lpstr>
      <vt:lpstr>cst_wskakunin_sekkei7_ZIP</vt:lpstr>
      <vt:lpstr>cst_wskakunin_sekkei8__address</vt:lpstr>
      <vt:lpstr>cst_wskakunin_sekkei8__sikaku</vt:lpstr>
      <vt:lpstr>cst_wskakunin_sekkei8_DOC</vt:lpstr>
      <vt:lpstr>cst_wskakunin_sekkei8_JIMU__sikaku</vt:lpstr>
      <vt:lpstr>cst_wskakunin_sekkei8_JIMU_NAME</vt:lpstr>
      <vt:lpstr>cst_wskakunin_sekkei8_JIMU_NO</vt:lpstr>
      <vt:lpstr>cst_wskakunin_sekkei8_JIMU_SIKAKU</vt:lpstr>
      <vt:lpstr>cst_wskakunin_sekkei8_JIMU_TOUROKU_KIKAN</vt:lpstr>
      <vt:lpstr>cst_wskakunin_sekkei8_jimuname_name</vt:lpstr>
      <vt:lpstr>cst_wskakunin_sekkei8_KENTIKUSI_NO</vt:lpstr>
      <vt:lpstr>cst_wskakunin_sekkei8_NAME</vt:lpstr>
      <vt:lpstr>cst_wskakunin_sekkei8_SIKAKU</vt:lpstr>
      <vt:lpstr>cst_wskakunin_sekkei8_TEL</vt:lpstr>
      <vt:lpstr>cst_wskakunin_sekkei8_TOUROKU_KIKAN</vt:lpstr>
      <vt:lpstr>cst_wskakunin_sekkei8_ZIP</vt:lpstr>
      <vt:lpstr>cst_wskakunin_sekkei9__address</vt:lpstr>
      <vt:lpstr>cst_wskakunin_sekkei9__sikaku</vt:lpstr>
      <vt:lpstr>cst_wskakunin_sekkei9_DOC</vt:lpstr>
      <vt:lpstr>cst_wskakunin_sekkei9_JIMU__sikaku</vt:lpstr>
      <vt:lpstr>cst_wskakunin_sekkei9_JIMU_NAME</vt:lpstr>
      <vt:lpstr>cst_wskakunin_sekkei9_JIMU_NO</vt:lpstr>
      <vt:lpstr>cst_wskakunin_sekkei9_JIMU_SIKAKU</vt:lpstr>
      <vt:lpstr>cst_wskakunin_sekkei9_JIMU_TOUROKU_KIKAN</vt:lpstr>
      <vt:lpstr>cst_wskakunin_sekkei9_jimuname_name</vt:lpstr>
      <vt:lpstr>cst_wskakunin_sekkei9_KENTIKUSI_NO</vt:lpstr>
      <vt:lpstr>cst_wskakunin_sekkei9_NAME</vt:lpstr>
      <vt:lpstr>cst_wskakunin_sekkei9_SIKAKU</vt:lpstr>
      <vt:lpstr>cst_wskakunin_sekkei9_TEL</vt:lpstr>
      <vt:lpstr>cst_wskakunin_sekkei9_TOUROKU_KIKAN</vt:lpstr>
      <vt:lpstr>cst_wskakunin_sekkei9_ZIP</vt:lpstr>
      <vt:lpstr>cst_wskakunin_sekou1__address</vt:lpstr>
      <vt:lpstr>cst_wskakunin_sekou1__hajime</vt:lpstr>
      <vt:lpstr>cst_wskakunin_sekou1__kistar</vt:lpstr>
      <vt:lpstr>cst_wskakunin_sekou1_JIMU_NAME</vt:lpstr>
      <vt:lpstr>cst_wskakunin_sekou1_kakunin</vt:lpstr>
      <vt:lpstr>cst_wskakunin_sekou1_NAME</vt:lpstr>
      <vt:lpstr>cst_wskakunin_sekou1_SEKOU__sikaku</vt:lpstr>
      <vt:lpstr>cst_wskakunin_sekou1_SEKOU_NO</vt:lpstr>
      <vt:lpstr>cst_wskakunin_sekou1_SEKOU_SIKAKU</vt:lpstr>
      <vt:lpstr>cst_wskakunin_sekou1_TEL</vt:lpstr>
      <vt:lpstr>cst_wskakunin_sekou1_ZIP</vt:lpstr>
      <vt:lpstr>cst_wskakunin_sekou2__address</vt:lpstr>
      <vt:lpstr>cst_wskakunin_sekou2_JIMU_NAME</vt:lpstr>
      <vt:lpstr>cst_wskakunin_sekou2_NAME</vt:lpstr>
      <vt:lpstr>cst_wskakunin_sekou2_SEKOU__sikaku</vt:lpstr>
      <vt:lpstr>cst_wskakunin_sekou2_SEKOU_NO</vt:lpstr>
      <vt:lpstr>cst_wskakunin_sekou2_SEKOU_SIKAKU</vt:lpstr>
      <vt:lpstr>cst_wskakunin_sekou2_TEL</vt:lpstr>
      <vt:lpstr>cst_wskakunin_sekou2_ZIP</vt:lpstr>
      <vt:lpstr>cst_wskakunin_sekou3__address</vt:lpstr>
      <vt:lpstr>cst_wskakunin_sekou3_JIMU_NAME</vt:lpstr>
      <vt:lpstr>cst_wskakunin_sekou3_NAME</vt:lpstr>
      <vt:lpstr>cst_wskakunin_sekou3_SEKOU__sikaku</vt:lpstr>
      <vt:lpstr>cst_wskakunin_sekou3_SEKOU_NO</vt:lpstr>
      <vt:lpstr>cst_wskakunin_sekou3_SEKOU_SIKAKU</vt:lpstr>
      <vt:lpstr>cst_wskakunin_sekou3_TEL</vt:lpstr>
      <vt:lpstr>cst_wskakunin_sekou3_ZIP</vt:lpstr>
      <vt:lpstr>cst_wskakunin_sekou4__address</vt:lpstr>
      <vt:lpstr>cst_wskakunin_sekou4_JIMU_NAME</vt:lpstr>
      <vt:lpstr>cst_wskakunin_sekou4_NAME</vt:lpstr>
      <vt:lpstr>cst_wskakunin_sekou4_SEKOU__sikaku</vt:lpstr>
      <vt:lpstr>cst_wskakunin_sekou4_SEKOU_NO</vt:lpstr>
      <vt:lpstr>cst_wskakunin_sekou4_SEKOU_SIKAKU</vt:lpstr>
      <vt:lpstr>cst_wskakunin_sekou4_TEL</vt:lpstr>
      <vt:lpstr>cst_wskakunin_sekou4_ZIP</vt:lpstr>
      <vt:lpstr>cst_wskakunin_sekou5__address</vt:lpstr>
      <vt:lpstr>cst_wskakunin_sekou5_JIMU_NAME</vt:lpstr>
      <vt:lpstr>cst_wskakunin_sekou5_NAME</vt:lpstr>
      <vt:lpstr>cst_wskakunin_sekou5_SEKOU__sikaku</vt:lpstr>
      <vt:lpstr>cst_wskakunin_sekou5_SEKOU_NO</vt:lpstr>
      <vt:lpstr>cst_wskakunin_sekou5_SEKOU_SIKAKU</vt:lpstr>
      <vt:lpstr>cst_wskakunin_sekou5_TEL</vt:lpstr>
      <vt:lpstr>cst_wskakunin_sekou5_ZIP</vt:lpstr>
      <vt:lpstr>cst_wskakunin_sekou6__address</vt:lpstr>
      <vt:lpstr>cst_wskakunin_sekou6_JIMU_NAME</vt:lpstr>
      <vt:lpstr>cst_wskakunin_sekou6_NAME</vt:lpstr>
      <vt:lpstr>cst_wskakunin_sekou6_SEKOU__sikaku</vt:lpstr>
      <vt:lpstr>cst_wskakunin_sekou6_SEKOU_NO</vt:lpstr>
      <vt:lpstr>cst_wskakunin_sekou6_SEKOU_SIKAKU</vt:lpstr>
      <vt:lpstr>cst_wskakunin_sekou6_TEL</vt:lpstr>
      <vt:lpstr>cst_wskakunin_sekou6_ZIP</vt:lpstr>
      <vt:lpstr>cst_wskakunin_SHIKITI_MENSEKI_1_TOTAL</vt:lpstr>
      <vt:lpstr>cst_wskakunin_SHIKITI_MENSEKI_1A</vt:lpstr>
      <vt:lpstr>cst_wskakunin_SHIKITI_MENSEKI_1B</vt:lpstr>
      <vt:lpstr>cst_wskakunin_SHIKITI_MENSEKI_1C</vt:lpstr>
      <vt:lpstr>cst_wskakunin_SHIKITI_MENSEKI_1D</vt:lpstr>
      <vt:lpstr>cst_wskakunin_SHIKITI_MENSEKI_2_TOTAL</vt:lpstr>
      <vt:lpstr>cst_wskakunin_SHIKITI_MENSEKI_2A</vt:lpstr>
      <vt:lpstr>cst_wskakunin_SHIKITI_MENSEKI_2B</vt:lpstr>
      <vt:lpstr>cst_wskakunin_SHIKITI_MENSEKI_2C</vt:lpstr>
      <vt:lpstr>cst_wskakunin_SHIKITI_MENSEKI_2D</vt:lpstr>
      <vt:lpstr>cst_wskakunin_SHIKITI_MENSEKI_BIKOU</vt:lpstr>
      <vt:lpstr>cst_wskakunin_SHINSEI_DATE</vt:lpstr>
      <vt:lpstr>cst_wskakunin_TAKASA_MAX_SHINSEI</vt:lpstr>
      <vt:lpstr>cst_wskakunin_TAKASA_MAX_SONOTA</vt:lpstr>
      <vt:lpstr>cst_wskakunin_tekihan01_TEKIHAN_KIKAN_ADDRESS</vt:lpstr>
      <vt:lpstr>cst_wskakunin_tekihan01_TEKIHAN_KIKAN_info</vt:lpstr>
      <vt:lpstr>cst_wskakunin_tekihan01_TEKIHAN_KIKAN_KEN__ken</vt:lpstr>
      <vt:lpstr>cst_wskakunin_tekihan01_TEKIHAN_KIKAN_NAME</vt:lpstr>
      <vt:lpstr>cst_wskakunin_tekihan01_TEKIHAN_STATE_mishinsei</vt:lpstr>
      <vt:lpstr>cst_wskakunin_tekihan01_TEKIHAN_STATE_shinsei</vt:lpstr>
      <vt:lpstr>cst_wskakunin_tekihan01_TEKIHAN_STATE_shinseifuyou</vt:lpstr>
      <vt:lpstr>cst_wskakunin_tekihan02_TEKIHAN_KIKAN_ADDRESS</vt:lpstr>
      <vt:lpstr>cst_wskakunin_tekihan02_TEKIHAN_KIKAN_info</vt:lpstr>
      <vt:lpstr>cst_wskakunin_tekihan02_TEKIHAN_KIKAN_KEN__ken</vt:lpstr>
      <vt:lpstr>cst_wskakunin_tekihan02_TEKIHAN_KIKAN_NAME</vt:lpstr>
      <vt:lpstr>cst_wskakunin_TOKUREI_TAKASA</vt:lpstr>
      <vt:lpstr>cst_wskakunin_TOKUREI_TAKASA_box_off</vt:lpstr>
      <vt:lpstr>cst_wskakunin_TOKUREI_TAKASA_box_on</vt:lpstr>
      <vt:lpstr>cst_wskakunin_TOKUREI_TAKASA_DOURO</vt:lpstr>
      <vt:lpstr>cst_wskakunin_TOKUREI_TAKASA_KITA</vt:lpstr>
      <vt:lpstr>cst_wskakunin_TOKUREI_TAKASA_RINTI</vt:lpstr>
      <vt:lpstr>cst_wskakunin_TOKUREI_txt</vt:lpstr>
      <vt:lpstr>cst_wskakunin_TOKUTEI_KOUJI_KANRYOU_DATE_select</vt:lpstr>
      <vt:lpstr>cst_wskakunin_TOKUTEI_KOUTEI</vt:lpstr>
      <vt:lpstr>cst_wskakunin_TOKUTEI_KOUTEI_inter1</vt:lpstr>
      <vt:lpstr>cst_wskakunin_TOKUTEI_KOUTEI_inter2</vt:lpstr>
      <vt:lpstr>cst_wskakunin_wskakunin_SONOTA_KUIKI</vt:lpstr>
      <vt:lpstr>cst_wskakunin_YOUSEKI_RITU</vt:lpstr>
      <vt:lpstr>cst_wskakunin_YOUSEKI_RITU_A</vt:lpstr>
      <vt:lpstr>cst_wskakunin_YOUSEKI_RITU_B</vt:lpstr>
      <vt:lpstr>cst_wskakunin_YOUSEKI_RITU_C</vt:lpstr>
      <vt:lpstr>cst_wskakunin_YOUSEKI_RITU_D</vt:lpstr>
      <vt:lpstr>cst_wskakunin_YOUTO</vt:lpstr>
      <vt:lpstr>cst_wskakunin_YOUTO_CODE</vt:lpstr>
      <vt:lpstr>cst_wskakunin_YOUTO_kodate_box</vt:lpstr>
      <vt:lpstr>cst_wskakunin_YOUTO_kyoudou_box</vt:lpstr>
      <vt:lpstr>cst_wskakunin_YOUTO_TIIKI_A</vt:lpstr>
      <vt:lpstr>cst_wskakunin_YOUTO_TIIKI_B</vt:lpstr>
      <vt:lpstr>cst_wskakunin_YOUTO_TIIKI_C</vt:lpstr>
      <vt:lpstr>cst_wskakunin_YOUTO_TIIKI_D</vt:lpstr>
      <vt:lpstr>委任状_確認等!Print_Area</vt:lpstr>
      <vt:lpstr>shinsei_build_p6_01_PAGE6_KOUZOU_KEISAN_KIND__002</vt:lpstr>
      <vt:lpstr>shinsei_build_p6_01_PAGE6_KOUZOU_KEISAN_KIND__004</vt:lpstr>
      <vt:lpstr>shinsei_build_p6_01_PAGE6_KOUZOU_KEISAN_KIND__005</vt:lpstr>
      <vt:lpstr>shinsei_build_YOUTO</vt:lpstr>
      <vt:lpstr>shinsei_HIKIUKE_DATE</vt:lpstr>
      <vt:lpstr>shinsei_ISSUE_DATE</vt:lpstr>
      <vt:lpstr>shinsei_ISSUE_KOUFU_NAME</vt:lpstr>
      <vt:lpstr>shinsei_ISSUE_NO</vt:lpstr>
      <vt:lpstr>shinsei_KAKU_SUMI_NO</vt:lpstr>
      <vt:lpstr>shinsei_PROVO_DATE</vt:lpstr>
      <vt:lpstr>shinsei_PROVO_NO</vt:lpstr>
      <vt:lpstr>shinsei_UKETUKE_NO</vt:lpstr>
      <vt:lpstr>shinsei_UNIT_COUNT</vt:lpstr>
      <vt:lpstr>showsheetflag_cst_DATA</vt:lpstr>
      <vt:lpstr>showsheetflag_DATA</vt:lpstr>
      <vt:lpstr>showsheetflag_dSHEET</vt:lpstr>
      <vt:lpstr>showsheetflag_dSTART</vt:lpstr>
      <vt:lpstr>showsheetflag_NoObject</vt:lpstr>
      <vt:lpstr>showsheetflag_つくば市_別添</vt:lpstr>
      <vt:lpstr>showsheetflag_ひたちなか市_別添</vt:lpstr>
      <vt:lpstr>showsheetflag_リスト</vt:lpstr>
      <vt:lpstr>showsheetflag_委任状_確認等</vt:lpstr>
      <vt:lpstr>showsheetflag_茨城県_現地調査表</vt:lpstr>
      <vt:lpstr>showsheetflag_火災_S造</vt:lpstr>
      <vt:lpstr>showsheetflag_火災_木造</vt:lpstr>
      <vt:lpstr>showsheetflag_記載事項変更・訂正届</vt:lpstr>
      <vt:lpstr>showsheetflag_技術的審査依頼書</vt:lpstr>
      <vt:lpstr>showsheetflag_技術的審査依頼書_変更</vt:lpstr>
      <vt:lpstr>showsheetflag_空気・光・音環境_S造</vt:lpstr>
      <vt:lpstr>showsheetflag_空気・光・音環境_木造</vt:lpstr>
      <vt:lpstr>showsheetflag_軽微な変更説明書</vt:lpstr>
      <vt:lpstr>showsheetflag_建築確認申請事前調査票</vt:lpstr>
      <vt:lpstr>showsheetflag_建築計画概要書_第三面</vt:lpstr>
      <vt:lpstr>showsheetflag_建築工事届</vt:lpstr>
      <vt:lpstr>showsheetflag_建築工事届K</vt:lpstr>
      <vt:lpstr>showsheetflag_工事監理者・施工者の決定届出書</vt:lpstr>
      <vt:lpstr>showsheetflag_工事施工者の決定報告書</vt:lpstr>
      <vt:lpstr>showsheetflag_工事取止届</vt:lpstr>
      <vt:lpstr>showsheetflag_項目リスト</vt:lpstr>
      <vt:lpstr>showsheetflag_高萩市_別添</vt:lpstr>
      <vt:lpstr>showsheetflag_高齢者_S造</vt:lpstr>
      <vt:lpstr>showsheetflag_高齢者_木造</vt:lpstr>
      <vt:lpstr>showsheetflag_取下げ届</vt:lpstr>
      <vt:lpstr>showsheetflag_取下げ届_長期</vt:lpstr>
      <vt:lpstr>showsheetflag_取手市_別添</vt:lpstr>
      <vt:lpstr>showsheetflag_省エネ_S造</vt:lpstr>
      <vt:lpstr>showsheetflag_省エネ_木造</vt:lpstr>
      <vt:lpstr>showsheetflag_申請書</vt:lpstr>
      <vt:lpstr>showsheetflag_水戸市_別添</vt:lpstr>
      <vt:lpstr>showsheetflag_設計住宅性能評価申請書</vt:lpstr>
      <vt:lpstr>showsheetflag_設計住宅性能評価申請書H</vt:lpstr>
      <vt:lpstr>showsheetflag_設申一面</vt:lpstr>
      <vt:lpstr>showsheetflag_設申二面戸</vt:lpstr>
      <vt:lpstr>showsheetflag_説明</vt:lpstr>
      <vt:lpstr>showsheetflag_耐震_一般_S造</vt:lpstr>
      <vt:lpstr>showsheetflag_耐震_認証_S造</vt:lpstr>
      <vt:lpstr>showsheetflag_耐震_木造</vt:lpstr>
      <vt:lpstr>showsheetflag_第一面</vt:lpstr>
      <vt:lpstr>showsheetflag_第一面_未決定</vt:lpstr>
      <vt:lpstr>showsheetflag_第三面</vt:lpstr>
      <vt:lpstr>showsheetflag_第四面</vt:lpstr>
      <vt:lpstr>showsheetflag_第四面_未決定</vt:lpstr>
      <vt:lpstr>showsheetflag_第二面</vt:lpstr>
      <vt:lpstr>showsheetflag_中現申一面</vt:lpstr>
      <vt:lpstr>showsheetflag_中現申二面</vt:lpstr>
      <vt:lpstr>showsheetflag_適合申一面</vt:lpstr>
      <vt:lpstr>showsheetflag_適合申二面戸</vt:lpstr>
      <vt:lpstr>showsheetflag_日立市_別添</vt:lpstr>
      <vt:lpstr>showsheetflag_非表示予定</vt:lpstr>
      <vt:lpstr>showsheetflag_表紙_S造</vt:lpstr>
      <vt:lpstr>showsheetflag_表紙_木造</vt:lpstr>
      <vt:lpstr>showsheetflag_防犯_S造</vt:lpstr>
      <vt:lpstr>showsheetflag_防犯_木造</vt:lpstr>
      <vt:lpstr>showsheetflag_名義変更届</vt:lpstr>
      <vt:lpstr>showsheetflag_用途の区分</vt:lpstr>
      <vt:lpstr>showsheetflag_劣化・維持管理_S造</vt:lpstr>
      <vt:lpstr>showsheetflag_劣化・維持管理_木造</vt:lpstr>
      <vt:lpstr>wsflat35_dairi1_POST</vt:lpstr>
      <vt:lpstr>wsjob_JOB_KIND</vt:lpstr>
      <vt:lpstr>wsjob_JOB_SET_KIND</vt:lpstr>
      <vt:lpstr>wsjob_TARGET_KIND</vt:lpstr>
      <vt:lpstr>wsjob_TARGET_KIND__label</vt:lpstr>
      <vt:lpstr>wskakunin__bouka</vt:lpstr>
      <vt:lpstr>wskakunin__kouji</vt:lpstr>
      <vt:lpstr>wskakunin__kuiki</vt:lpstr>
      <vt:lpstr>wskakunin__tosi_kuiki</vt:lpstr>
      <vt:lpstr>wskakunin_20kouzou101_KOUZOUSEKKEI_KOUFU_NO</vt:lpstr>
      <vt:lpstr>wskakunin_20kouzou101_NAME</vt:lpstr>
      <vt:lpstr>wskakunin_20kouzou102_KOUZOUSEKKEI_KOUFU_NO</vt:lpstr>
      <vt:lpstr>wskakunin_20kouzou102_NAME</vt:lpstr>
      <vt:lpstr>wskakunin_20kouzou103_KOUZOUSEKKEI_KOUFU_NO</vt:lpstr>
      <vt:lpstr>wskakunin_20kouzou103_NAME</vt:lpstr>
      <vt:lpstr>wskakunin_20kouzou104_KOUZOUSEKKEI_KOUFU_NO</vt:lpstr>
      <vt:lpstr>wskakunin_20kouzou104_NAME</vt:lpstr>
      <vt:lpstr>wskakunin_20kouzou105_KOUZOUSEKKEI_KOUFU_NO</vt:lpstr>
      <vt:lpstr>wskakunin_20kouzou105_NAME</vt:lpstr>
      <vt:lpstr>wskakunin_20kouzou301_KOUZOUSEKKEI_KOUFU_NO</vt:lpstr>
      <vt:lpstr>wskakunin_20kouzou301_NAME</vt:lpstr>
      <vt:lpstr>wskakunin_20kouzou302_KOUZOUSEKKEI_KOUFU_NO</vt:lpstr>
      <vt:lpstr>wskakunin_20kouzou302_NAME</vt:lpstr>
      <vt:lpstr>wskakunin_20kouzou303_KOUZOUSEKKEI_KOUFU_NO</vt:lpstr>
      <vt:lpstr>wskakunin_20kouzou303_NAME</vt:lpstr>
      <vt:lpstr>wskakunin_20kouzou304_KOUZOUSEKKEI_KOUFU_NO</vt:lpstr>
      <vt:lpstr>wskakunin_20kouzou304_NAME</vt:lpstr>
      <vt:lpstr>wskakunin_20kouzou305_KOUZOUSEKKEI_KOUFU_NO</vt:lpstr>
      <vt:lpstr>wskakunin_20kouzou305_NAME</vt:lpstr>
      <vt:lpstr>wskakunin_20setubi101_NAME</vt:lpstr>
      <vt:lpstr>wskakunin_20setubi101_SETUBISEKKEI_KOUFU_NO</vt:lpstr>
      <vt:lpstr>wskakunin_20setubi102_NAME</vt:lpstr>
      <vt:lpstr>wskakunin_20setubi102_SETUBISEKKEI_KOUFU_NO</vt:lpstr>
      <vt:lpstr>wskakunin_20setubi103_NAME</vt:lpstr>
      <vt:lpstr>wskakunin_20setubi103_SETUBISEKKEI_KOUFU_NO</vt:lpstr>
      <vt:lpstr>wskakunin_20setubi104_NAME</vt:lpstr>
      <vt:lpstr>wskakunin_20setubi104_SETUBISEKKEI_KOUFU_NO</vt:lpstr>
      <vt:lpstr>wskakunin_20setubi105_NAME</vt:lpstr>
      <vt:lpstr>wskakunin_20setubi105_SETUBISEKKEI_KOUFU_NO</vt:lpstr>
      <vt:lpstr>wskakunin_20setubi301_NAME</vt:lpstr>
      <vt:lpstr>wskakunin_20setubi301_SETUBISEKKEI_KOUFU_NO</vt:lpstr>
      <vt:lpstr>wskakunin_20setubi302_NAME</vt:lpstr>
      <vt:lpstr>wskakunin_20setubi302_SETUBISEKKEI_KOUFU_NO</vt:lpstr>
      <vt:lpstr>wskakunin_20setubi303_NAME</vt:lpstr>
      <vt:lpstr>wskakunin_20setubi303_SETUBISEKKEI_KOUFU_NO</vt:lpstr>
      <vt:lpstr>wskakunin_20setubi304_NAME</vt:lpstr>
      <vt:lpstr>wskakunin_20setubi304_SETUBISEKKEI_KOUFU_NO</vt:lpstr>
      <vt:lpstr>wskakunin_20setubi305_NAME</vt:lpstr>
      <vt:lpstr>wskakunin_20setubi305_SETUBISEKKEI_KOUFU_NO</vt:lpstr>
      <vt:lpstr>wskakunin_APPLICANT_NAME</vt:lpstr>
      <vt:lpstr>wskakunin_BOUKA_22JYO</vt:lpstr>
      <vt:lpstr>wskakunin_BOUKA_BOUKA</vt:lpstr>
      <vt:lpstr>wskakunin_BOUKA_JYUN_BOUKA</vt:lpstr>
      <vt:lpstr>wskakunin_BOUKA_NASI</vt:lpstr>
      <vt:lpstr>wskakunin_BOUKA_SETUBI_FLAG</vt:lpstr>
      <vt:lpstr>wskakunin_BUILD__address</vt:lpstr>
      <vt:lpstr>wskakunin_BUILD_ADDRESS</vt:lpstr>
      <vt:lpstr>wskakunin_BUILD_JYUKYO__address</vt:lpstr>
      <vt:lpstr>wskakunin_BUILD_JYUKYO_ADDRESS</vt:lpstr>
      <vt:lpstr>wskakunin_BUILD_JYUKYO_KEN__ken</vt:lpstr>
      <vt:lpstr>wskakunin_BUILD_KEN__ken</vt:lpstr>
      <vt:lpstr>wskakunin_BUILD_NAME</vt:lpstr>
      <vt:lpstr>wskakunin_BUILD_NAME_KANA</vt:lpstr>
      <vt:lpstr>wskakunin_BUILD_SHINSEI_COUNT</vt:lpstr>
      <vt:lpstr>wskakunin_BUILD_SONOTA_COUNT</vt:lpstr>
      <vt:lpstr>wskakunin_dairi1__address</vt:lpstr>
      <vt:lpstr>wskakunin_dairi1__sikaku</vt:lpstr>
      <vt:lpstr>wskakunin_dairi1_FAX</vt:lpstr>
      <vt:lpstr>wskakunin_dairi1_JIMU__sikaku</vt:lpstr>
      <vt:lpstr>wskakunin_dairi1_JIMU_NAME</vt:lpstr>
      <vt:lpstr>wskakunin_dairi1_JIMU_NO</vt:lpstr>
      <vt:lpstr>wskakunin_dairi1_JIMU_SIKAKU__label</vt:lpstr>
      <vt:lpstr>wskakunin_dairi1_JIMU_TOUROKU_KIKAN__label</vt:lpstr>
      <vt:lpstr>wskakunin_dairi1_KENTIKUSI_NO</vt:lpstr>
      <vt:lpstr>wskakunin_dairi1_NAME</vt:lpstr>
      <vt:lpstr>wskakunin_dairi1_NAME_KANA</vt:lpstr>
      <vt:lpstr>wskakunin_dairi1_SIKAKU__label</vt:lpstr>
      <vt:lpstr>wskakunin_dairi1_TEL</vt:lpstr>
      <vt:lpstr>wskakunin_dairi1_TOUROKU_KIKAN__label</vt:lpstr>
      <vt:lpstr>wskakunin_dairi1_ZIP</vt:lpstr>
      <vt:lpstr>wskakunin_dairi2__address</vt:lpstr>
      <vt:lpstr>wskakunin_dairi2__sikaku</vt:lpstr>
      <vt:lpstr>wskakunin_dairi2_FAX</vt:lpstr>
      <vt:lpstr>wskakunin_dairi2_JIMU__sikaku</vt:lpstr>
      <vt:lpstr>wskakunin_dairi2_JIMU_NAME</vt:lpstr>
      <vt:lpstr>wskakunin_dairi2_JIMU_NO</vt:lpstr>
      <vt:lpstr>wskakunin_dairi2_JIMU_SIKAKU__label</vt:lpstr>
      <vt:lpstr>wskakunin_dairi2_JIMU_TOUROKU_KIKAN__label</vt:lpstr>
      <vt:lpstr>wskakunin_dairi2_KENTIKUSI_NO</vt:lpstr>
      <vt:lpstr>wskakunin_dairi2_NAME</vt:lpstr>
      <vt:lpstr>wskakunin_dairi2_NAME_KANA</vt:lpstr>
      <vt:lpstr>wskakunin_dairi2_SIKAKU__label</vt:lpstr>
      <vt:lpstr>wskakunin_dairi2_TEL</vt:lpstr>
      <vt:lpstr>wskakunin_dairi2_TOUROKU_KIKAN__label</vt:lpstr>
      <vt:lpstr>wskakunin_dairi2_ZIP</vt:lpstr>
      <vt:lpstr>wskakunin_dairi3__address</vt:lpstr>
      <vt:lpstr>wskakunin_dairi3__sikaku</vt:lpstr>
      <vt:lpstr>wskakunin_dairi3_FAX</vt:lpstr>
      <vt:lpstr>wskakunin_dairi3_JIMU__sikaku</vt:lpstr>
      <vt:lpstr>wskakunin_dairi3_JIMU_NAME</vt:lpstr>
      <vt:lpstr>wskakunin_dairi3_JIMU_NO</vt:lpstr>
      <vt:lpstr>wskakunin_dairi3_JIMU_SIKAKU__label</vt:lpstr>
      <vt:lpstr>wskakunin_dairi3_JIMU_TOUROKU_KIKAN__label</vt:lpstr>
      <vt:lpstr>wskakunin_dairi3_KENTIKUSI_NO</vt:lpstr>
      <vt:lpstr>wskakunin_dairi3_NAME</vt:lpstr>
      <vt:lpstr>wskakunin_dairi3_NAME_KANA</vt:lpstr>
      <vt:lpstr>wskakunin_dairi3_SIKAKU__label</vt:lpstr>
      <vt:lpstr>wskakunin_dairi3_TEL</vt:lpstr>
      <vt:lpstr>wskakunin_dairi3_TOUROKU_KIKAN__label</vt:lpstr>
      <vt:lpstr>wskakunin_dairi3_ZIP</vt:lpstr>
      <vt:lpstr>wskakunin_dairi4__address</vt:lpstr>
      <vt:lpstr>wskakunin_dairi4__sikaku</vt:lpstr>
      <vt:lpstr>wskakunin_dairi4_FAX</vt:lpstr>
      <vt:lpstr>wskakunin_dairi4_JIMU__sikaku</vt:lpstr>
      <vt:lpstr>wskakunin_dairi4_JIMU_NAME</vt:lpstr>
      <vt:lpstr>wskakunin_dairi4_JIMU_NO</vt:lpstr>
      <vt:lpstr>wskakunin_dairi4_JIMU_SIKAKU__label</vt:lpstr>
      <vt:lpstr>wskakunin_dairi4_JIMU_TOUROKU_KIKAN__label</vt:lpstr>
      <vt:lpstr>wskakunin_dairi4_KENTIKUSI_NO</vt:lpstr>
      <vt:lpstr>wskakunin_dairi4_NAME</vt:lpstr>
      <vt:lpstr>wskakunin_dairi4_NAME_KANA</vt:lpstr>
      <vt:lpstr>wskakunin_dairi4_SIKAKU__label</vt:lpstr>
      <vt:lpstr>wskakunin_dairi4_TEL</vt:lpstr>
      <vt:lpstr>wskakunin_dairi4_TOUROKU_KIKAN__label</vt:lpstr>
      <vt:lpstr>wskakunin_dairi4_ZIP</vt:lpstr>
      <vt:lpstr>wskakunin_dairi5__address</vt:lpstr>
      <vt:lpstr>wskakunin_dairi5__sikaku</vt:lpstr>
      <vt:lpstr>wskakunin_dairi5_FAX</vt:lpstr>
      <vt:lpstr>wskakunin_dairi5_JIMU__sikaku</vt:lpstr>
      <vt:lpstr>wskakunin_dairi5_JIMU_NAME</vt:lpstr>
      <vt:lpstr>wskakunin_dairi5_JIMU_NO</vt:lpstr>
      <vt:lpstr>wskakunin_dairi5_JIMU_SIKAKU__label</vt:lpstr>
      <vt:lpstr>wskakunin_dairi5_JIMU_TOUROKU_KIKAN__label</vt:lpstr>
      <vt:lpstr>wskakunin_dairi5_KENTIKUSI_NO</vt:lpstr>
      <vt:lpstr>wskakunin_dairi5_NAME</vt:lpstr>
      <vt:lpstr>wskakunin_dairi5_NAME_KANA</vt:lpstr>
      <vt:lpstr>wskakunin_dairi5_SIKAKU__label</vt:lpstr>
      <vt:lpstr>wskakunin_dairi5_TEL</vt:lpstr>
      <vt:lpstr>wskakunin_dairi5_TOUROKU_KIKAN__label</vt:lpstr>
      <vt:lpstr>wskakunin_dairi5_ZIP</vt:lpstr>
      <vt:lpstr>wskakunin_DOURO_FUKUIN</vt:lpstr>
      <vt:lpstr>wskakunin_DOURO_NAGASA</vt:lpstr>
      <vt:lpstr>wskakunin_ecotekihan01_FUYOU_CAUSE</vt:lpstr>
      <vt:lpstr>wskakunin_ecotekihan01_TEKIHAN_KIKAN_ADDRESS</vt:lpstr>
      <vt:lpstr>wskakunin_ecotekihan01_TEKIHAN_KIKAN_KEN__ken</vt:lpstr>
      <vt:lpstr>wskakunin_ecotekihan01_TEKIHAN_KIKAN_NAME</vt:lpstr>
      <vt:lpstr>wskakunin_ecotekihan01_TEKIHAN_STATE</vt:lpstr>
      <vt:lpstr>wskakunin_gaiyou1_EV_KIND</vt:lpstr>
      <vt:lpstr>wskakunin_gaiyou1_KOUJI_KAITIKU</vt:lpstr>
      <vt:lpstr>wskakunin_gaiyou1_KOUJI_SINTIKU</vt:lpstr>
      <vt:lpstr>wskakunin_gaiyou1_KOUJI_SONOTA</vt:lpstr>
      <vt:lpstr>wskakunin_gaiyou1_KOUJI_SONOTA_TEXT</vt:lpstr>
      <vt:lpstr>wskakunin_gaiyou1_KOUJI_ZOUTIKU</vt:lpstr>
      <vt:lpstr>wskakunin_gaiyou1_KOUZOU</vt:lpstr>
      <vt:lpstr>wskakunin_gaiyou1_NINSYOU_NO</vt:lpstr>
      <vt:lpstr>wskakunin_gaiyou1_NO</vt:lpstr>
      <vt:lpstr>wskakunin_gaiyou1_SEKISAI</vt:lpstr>
      <vt:lpstr>wskakunin_gaiyou1_SONOTA</vt:lpstr>
      <vt:lpstr>wskakunin_gaiyou1_SONOTA_and_NINSYOU_NO</vt:lpstr>
      <vt:lpstr>wskakunin_gaiyou1_SPEED</vt:lpstr>
      <vt:lpstr>wskakunin_gaiyou1_TAKASA</vt:lpstr>
      <vt:lpstr>wskakunin_gaiyou1_TEIIN</vt:lpstr>
      <vt:lpstr>wskakunin_gaiyou1_TIKUZOU_MENSEKI_IGAI</vt:lpstr>
      <vt:lpstr>wskakunin_gaiyou1_TIKUZOU_MENSEKI_SHINSEI</vt:lpstr>
      <vt:lpstr>wskakunin_gaiyou1_TIKUZOU_MENSEKI_TOTAL</vt:lpstr>
      <vt:lpstr>wskakunin_gaiyou1_WORK_COUNT_IGAI</vt:lpstr>
      <vt:lpstr>wskakunin_gaiyou1_WORK_COUNT_SHINSEI</vt:lpstr>
      <vt:lpstr>wskakunin_gaiyou1_WORK_COUNT_TOTAL</vt:lpstr>
      <vt:lpstr>wskakunin_gaiyou1_WORK_SYURUI</vt:lpstr>
      <vt:lpstr>wskakunin_gaiyou1_WORK_SYURUI_CODE</vt:lpstr>
      <vt:lpstr>wskakunin_gaiyou1_YOUTO</vt:lpstr>
      <vt:lpstr>wskakunin_iken1__address</vt:lpstr>
      <vt:lpstr>wskakunin_iken1_DOC</vt:lpstr>
      <vt:lpstr>wskakunin_iken1_IKEN_NO</vt:lpstr>
      <vt:lpstr>wskakunin_iken1_JIMU_NAME</vt:lpstr>
      <vt:lpstr>wskakunin_iken1_NAME</vt:lpstr>
      <vt:lpstr>wskakunin_iken1_TEL</vt:lpstr>
      <vt:lpstr>wskakunin_iken1_ZIP</vt:lpstr>
      <vt:lpstr>wskakunin_iken2__address</vt:lpstr>
      <vt:lpstr>wskakunin_iken2_DOC</vt:lpstr>
      <vt:lpstr>wskakunin_iken2_IKEN_NO</vt:lpstr>
      <vt:lpstr>wskakunin_iken2_JIMU_NAME</vt:lpstr>
      <vt:lpstr>wskakunin_iken2_NAME</vt:lpstr>
      <vt:lpstr>wskakunin_iken2_TEL</vt:lpstr>
      <vt:lpstr>wskakunin_iken2_ZIP</vt:lpstr>
      <vt:lpstr>wskakunin_iken3__address</vt:lpstr>
      <vt:lpstr>wskakunin_iken3_DOC</vt:lpstr>
      <vt:lpstr>wskakunin_iken3_IKEN_NO</vt:lpstr>
      <vt:lpstr>wskakunin_iken3_JIMU_NAME</vt:lpstr>
      <vt:lpstr>wskakunin_iken3_NAME</vt:lpstr>
      <vt:lpstr>wskakunin_iken3_TEL</vt:lpstr>
      <vt:lpstr>wskakunin_iken3_ZIP</vt:lpstr>
      <vt:lpstr>wskakunin_iken4__address</vt:lpstr>
      <vt:lpstr>wskakunin_iken4_DOC</vt:lpstr>
      <vt:lpstr>wskakunin_iken4_IKEN_NO</vt:lpstr>
      <vt:lpstr>wskakunin_iken4_JIMU_NAME</vt:lpstr>
      <vt:lpstr>wskakunin_iken4_NAME</vt:lpstr>
      <vt:lpstr>wskakunin_iken4_TEL</vt:lpstr>
      <vt:lpstr>wskakunin_iken4_ZIP</vt:lpstr>
      <vt:lpstr>wskakunin_iken5__address</vt:lpstr>
      <vt:lpstr>wskakunin_iken5_DOC</vt:lpstr>
      <vt:lpstr>wskakunin_iken5_IKEN_NO</vt:lpstr>
      <vt:lpstr>wskakunin_iken5_JIMU_NAME</vt:lpstr>
      <vt:lpstr>wskakunin_iken5_NAME</vt:lpstr>
      <vt:lpstr>wskakunin_iken5_TEL</vt:lpstr>
      <vt:lpstr>wskakunin_iken5_ZIP</vt:lpstr>
      <vt:lpstr>wskakunin_KAISU_TIJYOU_SHINSEI</vt:lpstr>
      <vt:lpstr>wskakunin_KAISU_TIJYOU_SONOTA</vt:lpstr>
      <vt:lpstr>wskakunin_KAISU_TIKA_SHINSEI__zero</vt:lpstr>
      <vt:lpstr>wskakunin_KAISU_TIKA_SONOTA</vt:lpstr>
      <vt:lpstr>wskakunin_kanri1__address</vt:lpstr>
      <vt:lpstr>wskakunin_kanri1__sikaku</vt:lpstr>
      <vt:lpstr>wskakunin_kanri1_DOC</vt:lpstr>
      <vt:lpstr>wskakunin_kanri1_JIMU__sikaku</vt:lpstr>
      <vt:lpstr>wskakunin_kanri1_JIMU_NAME</vt:lpstr>
      <vt:lpstr>wskakunin_kanri1_JIMU_NO</vt:lpstr>
      <vt:lpstr>wskakunin_kanri1_JIMU_SIKAKU__label</vt:lpstr>
      <vt:lpstr>wskakunin_kanri1_JIMU_TOUROKU_KIKAN__label</vt:lpstr>
      <vt:lpstr>wskakunin_kanri1_KENTIKUSI_NO</vt:lpstr>
      <vt:lpstr>wskakunin_kanri1_NAME</vt:lpstr>
      <vt:lpstr>wskakunin_kanri1_SIKAKU__label</vt:lpstr>
      <vt:lpstr>wskakunin_kanri1_TEL</vt:lpstr>
      <vt:lpstr>wskakunin_kanri1_TOUROKU_KIKAN__label</vt:lpstr>
      <vt:lpstr>wskakunin_kanri1_ZIP</vt:lpstr>
      <vt:lpstr>wskakunin_kanri10__address</vt:lpstr>
      <vt:lpstr>wskakunin_kanri10__sikaku</vt:lpstr>
      <vt:lpstr>wskakunin_kanri10_DOC</vt:lpstr>
      <vt:lpstr>wskakunin_kanri10_JIMU__sikaku</vt:lpstr>
      <vt:lpstr>wskakunin_kanri10_JIMU_NAME</vt:lpstr>
      <vt:lpstr>wskakunin_kanri10_JIMU_NO</vt:lpstr>
      <vt:lpstr>wskakunin_kanri10_JIMU_SIKAKU__label</vt:lpstr>
      <vt:lpstr>wskakunin_kanri10_JIMU_TOUROKU_KIKAN__label</vt:lpstr>
      <vt:lpstr>wskakunin_kanri10_KENTIKUSI_NO</vt:lpstr>
      <vt:lpstr>wskakunin_kanri10_NAME</vt:lpstr>
      <vt:lpstr>wskakunin_kanri10_SIKAKU__label</vt:lpstr>
      <vt:lpstr>wskakunin_kanri10_TEL</vt:lpstr>
      <vt:lpstr>wskakunin_kanri10_TOUROKU_KIKAN__label</vt:lpstr>
      <vt:lpstr>wskakunin_kanri10_ZIP</vt:lpstr>
      <vt:lpstr>wskakunin_kanri11__address</vt:lpstr>
      <vt:lpstr>wskakunin_kanri11__sikaku</vt:lpstr>
      <vt:lpstr>wskakunin_kanri11_DOC</vt:lpstr>
      <vt:lpstr>wskakunin_kanri11_JIMU__sikaku</vt:lpstr>
      <vt:lpstr>wskakunin_kanri11_JIMU_NAME</vt:lpstr>
      <vt:lpstr>wskakunin_kanri11_JIMU_NO</vt:lpstr>
      <vt:lpstr>wskakunin_kanri11_JIMU_SIKAKU__label</vt:lpstr>
      <vt:lpstr>wskakunin_kanri11_JIMU_TOUROKU_KIKAN__label</vt:lpstr>
      <vt:lpstr>wskakunin_kanri11_KENTIKUSI_NO</vt:lpstr>
      <vt:lpstr>wskakunin_kanri11_NAME</vt:lpstr>
      <vt:lpstr>wskakunin_kanri11_SIKAKU__label</vt:lpstr>
      <vt:lpstr>wskakunin_kanri11_TEL</vt:lpstr>
      <vt:lpstr>wskakunin_kanri11_TOUROKU_KIKAN__label</vt:lpstr>
      <vt:lpstr>wskakunin_kanri11_ZIP</vt:lpstr>
      <vt:lpstr>wskakunin_kanri12__address</vt:lpstr>
      <vt:lpstr>wskakunin_kanri12__sikaku</vt:lpstr>
      <vt:lpstr>wskakunin_kanri12_DOC</vt:lpstr>
      <vt:lpstr>wskakunin_kanri12_JIMU__sikaku</vt:lpstr>
      <vt:lpstr>wskakunin_kanri12_JIMU_NAME</vt:lpstr>
      <vt:lpstr>wskakunin_kanri12_JIMU_NO</vt:lpstr>
      <vt:lpstr>wskakunin_kanri12_JIMU_SIKAKU__label</vt:lpstr>
      <vt:lpstr>wskakunin_kanri12_JIMU_TOUROKU_KIKAN__label</vt:lpstr>
      <vt:lpstr>wskakunin_kanri12_KENTIKUSI_NO</vt:lpstr>
      <vt:lpstr>wskakunin_kanri12_NAME</vt:lpstr>
      <vt:lpstr>wskakunin_kanri12_SIKAKU__label</vt:lpstr>
      <vt:lpstr>wskakunin_kanri12_TEL</vt:lpstr>
      <vt:lpstr>wskakunin_kanri12_TOUROKU_KIKAN__label</vt:lpstr>
      <vt:lpstr>wskakunin_kanri12_ZIP</vt:lpstr>
      <vt:lpstr>wskakunin_kanri2__address</vt:lpstr>
      <vt:lpstr>wskakunin_kanri2__sikaku</vt:lpstr>
      <vt:lpstr>wskakunin_kanri2_DOC</vt:lpstr>
      <vt:lpstr>wskakunin_kanri2_JIMU__sikaku</vt:lpstr>
      <vt:lpstr>wskakunin_kanri2_JIMU_NAME</vt:lpstr>
      <vt:lpstr>wskakunin_kanri2_JIMU_NO</vt:lpstr>
      <vt:lpstr>wskakunin_kanri2_JIMU_SIKAKU__label</vt:lpstr>
      <vt:lpstr>wskakunin_kanri2_JIMU_TOUROKU_KIKAN__label</vt:lpstr>
      <vt:lpstr>wskakunin_kanri2_KENTIKUSI_NO</vt:lpstr>
      <vt:lpstr>wskakunin_kanri2_NAME</vt:lpstr>
      <vt:lpstr>wskakunin_kanri2_SIKAKU__label</vt:lpstr>
      <vt:lpstr>wskakunin_kanri2_TEL</vt:lpstr>
      <vt:lpstr>wskakunin_kanri2_TOUROKU_KIKAN__label</vt:lpstr>
      <vt:lpstr>wskakunin_kanri2_ZIP</vt:lpstr>
      <vt:lpstr>wskakunin_kanri3__address</vt:lpstr>
      <vt:lpstr>wskakunin_kanri3__sikaku</vt:lpstr>
      <vt:lpstr>wskakunin_kanri3_DOC</vt:lpstr>
      <vt:lpstr>wskakunin_kanri3_JIMU__sikaku</vt:lpstr>
      <vt:lpstr>wskakunin_kanri3_JIMU_NAME</vt:lpstr>
      <vt:lpstr>wskakunin_kanri3_JIMU_NO</vt:lpstr>
      <vt:lpstr>wskakunin_kanri3_JIMU_SIKAKU__label</vt:lpstr>
      <vt:lpstr>wskakunin_kanri3_JIMU_TOUROKU_KIKAN__label</vt:lpstr>
      <vt:lpstr>wskakunin_kanri3_KENTIKUSI_NO</vt:lpstr>
      <vt:lpstr>wskakunin_kanri3_NAME</vt:lpstr>
      <vt:lpstr>wskakunin_kanri3_SIKAKU__label</vt:lpstr>
      <vt:lpstr>wskakunin_kanri3_TEL</vt:lpstr>
      <vt:lpstr>wskakunin_kanri3_TOUROKU_KIKAN__label</vt:lpstr>
      <vt:lpstr>wskakunin_kanri3_ZIP</vt:lpstr>
      <vt:lpstr>wskakunin_kanri4__address</vt:lpstr>
      <vt:lpstr>wskakunin_kanri4__sikaku</vt:lpstr>
      <vt:lpstr>wskakunin_kanri4_DOC</vt:lpstr>
      <vt:lpstr>wskakunin_kanri4_JIMU__sikaku</vt:lpstr>
      <vt:lpstr>wskakunin_kanri4_JIMU_NAME</vt:lpstr>
      <vt:lpstr>wskakunin_kanri4_JIMU_NO</vt:lpstr>
      <vt:lpstr>wskakunin_kanri4_JIMU_SIKAKU__label</vt:lpstr>
      <vt:lpstr>wskakunin_kanri4_JIMU_TOUROKU_KIKAN__label</vt:lpstr>
      <vt:lpstr>wskakunin_kanri4_KENTIKUSI_NO</vt:lpstr>
      <vt:lpstr>wskakunin_kanri4_NAME</vt:lpstr>
      <vt:lpstr>wskakunin_kanri4_SIKAKU__label</vt:lpstr>
      <vt:lpstr>wskakunin_kanri4_TEL</vt:lpstr>
      <vt:lpstr>wskakunin_kanri4_TOUROKU_KIKAN__label</vt:lpstr>
      <vt:lpstr>wskakunin_kanri4_ZIP</vt:lpstr>
      <vt:lpstr>wskakunin_kanri5__address</vt:lpstr>
      <vt:lpstr>wskakunin_kanri5__sikaku</vt:lpstr>
      <vt:lpstr>wskakunin_kanri5_DOC</vt:lpstr>
      <vt:lpstr>wskakunin_kanri5_JIMU__sikaku</vt:lpstr>
      <vt:lpstr>wskakunin_kanri5_JIMU_NAME</vt:lpstr>
      <vt:lpstr>wskakunin_kanri5_JIMU_NO</vt:lpstr>
      <vt:lpstr>wskakunin_kanri5_JIMU_SIKAKU__label</vt:lpstr>
      <vt:lpstr>wskakunin_kanri5_JIMU_TOUROKU_KIKAN__label</vt:lpstr>
      <vt:lpstr>wskakunin_kanri5_KENTIKUSI_NO</vt:lpstr>
      <vt:lpstr>wskakunin_kanri5_NAME</vt:lpstr>
      <vt:lpstr>wskakunin_kanri5_SIKAKU__label</vt:lpstr>
      <vt:lpstr>wskakunin_kanri5_TEL</vt:lpstr>
      <vt:lpstr>wskakunin_kanri5_TOUROKU_KIKAN__label</vt:lpstr>
      <vt:lpstr>wskakunin_kanri5_ZIP</vt:lpstr>
      <vt:lpstr>wskakunin_kanri6__address</vt:lpstr>
      <vt:lpstr>wskakunin_kanri6__sikaku</vt:lpstr>
      <vt:lpstr>wskakunin_kanri6_DOC</vt:lpstr>
      <vt:lpstr>wskakunin_kanri6_JIMU__sikaku</vt:lpstr>
      <vt:lpstr>wskakunin_kanri6_JIMU_NAME</vt:lpstr>
      <vt:lpstr>wskakunin_kanri6_JIMU_NO</vt:lpstr>
      <vt:lpstr>wskakunin_kanri6_JIMU_SIKAKU__label</vt:lpstr>
      <vt:lpstr>wskakunin_kanri6_JIMU_TOUROKU_KIKAN__label</vt:lpstr>
      <vt:lpstr>wskakunin_kanri6_KENTIKUSI_NO</vt:lpstr>
      <vt:lpstr>wskakunin_kanri6_NAME</vt:lpstr>
      <vt:lpstr>wskakunin_kanri6_SIKAKU__label</vt:lpstr>
      <vt:lpstr>wskakunin_kanri6_TEL</vt:lpstr>
      <vt:lpstr>wskakunin_kanri6_TOUROKU_KIKAN__label</vt:lpstr>
      <vt:lpstr>wskakunin_kanri6_ZIP</vt:lpstr>
      <vt:lpstr>wskakunin_kanri7__address</vt:lpstr>
      <vt:lpstr>wskakunin_kanri7__sikaku</vt:lpstr>
      <vt:lpstr>wskakunin_kanri7_DOC</vt:lpstr>
      <vt:lpstr>wskakunin_kanri7_JIMU__sikaku</vt:lpstr>
      <vt:lpstr>wskakunin_kanri7_JIMU_NAME</vt:lpstr>
      <vt:lpstr>wskakunin_kanri7_JIMU_NO</vt:lpstr>
      <vt:lpstr>wskakunin_kanri7_JIMU_SIKAKU__label</vt:lpstr>
      <vt:lpstr>wskakunin_kanri7_JIMU_TOUROKU_KIKAN__label</vt:lpstr>
      <vt:lpstr>wskakunin_kanri7_KENTIKUSI_NO</vt:lpstr>
      <vt:lpstr>wskakunin_kanri7_NAME</vt:lpstr>
      <vt:lpstr>wskakunin_kanri7_SIKAKU__label</vt:lpstr>
      <vt:lpstr>wskakunin_kanri7_TEL</vt:lpstr>
      <vt:lpstr>wskakunin_kanri7_TOUROKU_KIKAN__label</vt:lpstr>
      <vt:lpstr>wskakunin_kanri7_ZIP</vt:lpstr>
      <vt:lpstr>wskakunin_kanri8__address</vt:lpstr>
      <vt:lpstr>wskakunin_kanri8__sikaku</vt:lpstr>
      <vt:lpstr>wskakunin_kanri8_DOC</vt:lpstr>
      <vt:lpstr>wskakunin_kanri8_JIMU__sikaku</vt:lpstr>
      <vt:lpstr>wskakunin_kanri8_JIMU_NAME</vt:lpstr>
      <vt:lpstr>wskakunin_kanri8_JIMU_NO</vt:lpstr>
      <vt:lpstr>wskakunin_kanri8_JIMU_SIKAKU__label</vt:lpstr>
      <vt:lpstr>wskakunin_kanri8_JIMU_TOUROKU_KIKAN__label</vt:lpstr>
      <vt:lpstr>wskakunin_kanri8_KENTIKUSI_NO</vt:lpstr>
      <vt:lpstr>wskakunin_kanri8_NAME</vt:lpstr>
      <vt:lpstr>wskakunin_kanri8_SIKAKU__label</vt:lpstr>
      <vt:lpstr>wskakunin_kanri8_TEL</vt:lpstr>
      <vt:lpstr>wskakunin_kanri8_TOUROKU_KIKAN__label</vt:lpstr>
      <vt:lpstr>wskakunin_kanri8_ZIP</vt:lpstr>
      <vt:lpstr>wskakunin_kanri9__address</vt:lpstr>
      <vt:lpstr>wskakunin_kanri9__sikaku</vt:lpstr>
      <vt:lpstr>wskakunin_kanri9_DOC</vt:lpstr>
      <vt:lpstr>wskakunin_kanri9_JIMU__sikaku</vt:lpstr>
      <vt:lpstr>wskakunin_kanri9_JIMU_NAME</vt:lpstr>
      <vt:lpstr>wskakunin_kanri9_JIMU_NO</vt:lpstr>
      <vt:lpstr>wskakunin_kanri9_JIMU_SIKAKU__label</vt:lpstr>
      <vt:lpstr>wskakunin_kanri9_JIMU_TOUROKU_KIKAN__label</vt:lpstr>
      <vt:lpstr>wskakunin_kanri9_KENTIKUSI_NO</vt:lpstr>
      <vt:lpstr>wskakunin_kanri9_NAME</vt:lpstr>
      <vt:lpstr>wskakunin_kanri9_SIKAKU__label</vt:lpstr>
      <vt:lpstr>wskakunin_kanri9_TEL</vt:lpstr>
      <vt:lpstr>wskakunin_kanri9_TOUROKU_KIKAN__label</vt:lpstr>
      <vt:lpstr>wskakunin_kanri9_ZIP</vt:lpstr>
      <vt:lpstr>wskakunin_keibi_henkou01_HENKOU_GAIYOU</vt:lpstr>
      <vt:lpstr>wskakunin_keibi_henkou01_HENKOU_SYURUI</vt:lpstr>
      <vt:lpstr>wskakunin_KENPEI_RITU</vt:lpstr>
      <vt:lpstr>wskakunin_KENPEI_RITU_A</vt:lpstr>
      <vt:lpstr>wskakunin_KENPEI_RITU_B</vt:lpstr>
      <vt:lpstr>wskakunin_KENPEI_RITU_C</vt:lpstr>
      <vt:lpstr>wskakunin_KENPEI_RITU_D</vt:lpstr>
      <vt:lpstr>wskakunin_KENSA_YUKA_MENSEKI</vt:lpstr>
      <vt:lpstr>wskakunin_KENTIKU_MENSEKI_IGAI</vt:lpstr>
      <vt:lpstr>wskakunin_KENTIKU_MENSEKI_SHINSEI</vt:lpstr>
      <vt:lpstr>wskakunin_KENTIKU_MENSEKI_TOTAL</vt:lpstr>
      <vt:lpstr>wskakunin_KENTIKU_NINSYO_NO</vt:lpstr>
      <vt:lpstr>wskakunin_KIKAN_NAME</vt:lpstr>
      <vt:lpstr>wskakunin_KOUJI_DAI_MOYOUGAE</vt:lpstr>
      <vt:lpstr>wskakunin_KOUJI_DAI_SYUUZEN</vt:lpstr>
      <vt:lpstr>wskakunin_KOUJI_ITEN</vt:lpstr>
      <vt:lpstr>wskakunin_KOUJI_KAITIKU</vt:lpstr>
      <vt:lpstr>wskakunin_KOUJI_KANRYOU_DATE</vt:lpstr>
      <vt:lpstr>wskakunin_KOUJI_KANRYOU_YOTEI_DATE</vt:lpstr>
      <vt:lpstr>wskakunin_KOUJI_SINTIKU</vt:lpstr>
      <vt:lpstr>wskakunin_KOUJI_TYAKUSYU_DATE</vt:lpstr>
      <vt:lpstr>wskakunin_KOUJI_TYAKUSYU_YOTEI_DATE</vt:lpstr>
      <vt:lpstr>wskakunin_KOUJI_YOUTOHENKOU</vt:lpstr>
      <vt:lpstr>wskakunin_KOUJI_ZOUTIKU</vt:lpstr>
      <vt:lpstr>wskakunin_koutei_ikou01_KOUTEI_DATE</vt:lpstr>
      <vt:lpstr>wskakunin_koutei_ikou01_KOUTEI_KAISUU</vt:lpstr>
      <vt:lpstr>wskakunin_koutei_ikou01_KOUTEI_TEXT</vt:lpstr>
      <vt:lpstr>wskakunin_koutei_ikou02_KOUTEI_DATE</vt:lpstr>
      <vt:lpstr>wskakunin_koutei_ikou02_KOUTEI_KAISUU</vt:lpstr>
      <vt:lpstr>wskakunin_koutei_ikou02_KOUTEI_TEXT</vt:lpstr>
      <vt:lpstr>wskakunin_koutei_izen01_INTER_ISSUE_DATE</vt:lpstr>
      <vt:lpstr>wskakunin_koutei_izen01_INTER_ISSUE_NAME</vt:lpstr>
      <vt:lpstr>wskakunin_koutei_izen01_INTER_ISSUE_NO</vt:lpstr>
      <vt:lpstr>wskakunin_koutei_izen01_KOUTEI_KAISUU</vt:lpstr>
      <vt:lpstr>wskakunin_koutei_izen01_KOUTEI_TEXT</vt:lpstr>
      <vt:lpstr>wskakunin_koutei_izen02_INTER_ISSUE_DATE</vt:lpstr>
      <vt:lpstr>wskakunin_koutei_izen02_INTER_ISSUE_NAME</vt:lpstr>
      <vt:lpstr>wskakunin_koutei_izen02_INTER_ISSUE_NO</vt:lpstr>
      <vt:lpstr>wskakunin_koutei_izen02_KOUTEI_KAISUU</vt:lpstr>
      <vt:lpstr>wskakunin_koutei_izen02_KOUTEI_TEXT</vt:lpstr>
      <vt:lpstr>wskakunin_koutei_izen03_INTER_ISSUE_DATE</vt:lpstr>
      <vt:lpstr>wskakunin_koutei_izen03_INTER_ISSUE_NAME</vt:lpstr>
      <vt:lpstr>wskakunin_koutei_izen03_INTER_ISSUE_NO</vt:lpstr>
      <vt:lpstr>wskakunin_koutei_izen03_KOUTEI_KAISUU</vt:lpstr>
      <vt:lpstr>wskakunin_koutei_izen03_KOUTEI_TEXT</vt:lpstr>
      <vt:lpstr>wskakunin_koutei_izen04_INTER_ISSUE_DATE</vt:lpstr>
      <vt:lpstr>wskakunin_koutei_izen04_INTER_ISSUE_NAME</vt:lpstr>
      <vt:lpstr>wskakunin_koutei_izen04_INTER_ISSUE_NO</vt:lpstr>
      <vt:lpstr>wskakunin_koutei_izen04_KOUTEI_KAISUU</vt:lpstr>
      <vt:lpstr>wskakunin_koutei_izen04_KOUTEI_TEXT</vt:lpstr>
      <vt:lpstr>wskakunin_koutei01_INTER_ISSUE_DATE</vt:lpstr>
      <vt:lpstr>wskakunin_koutei01_INTER_ISSUE_NAME</vt:lpstr>
      <vt:lpstr>wskakunin_koutei01_INTER_ISSUE_NO</vt:lpstr>
      <vt:lpstr>wskakunin_koutei01_KOUTEI_DATE</vt:lpstr>
      <vt:lpstr>wskakunin_koutei01_KOUTEI_KAISUU</vt:lpstr>
      <vt:lpstr>wskakunin_koutei01_KOUTEI_TEXT</vt:lpstr>
      <vt:lpstr>wskakunin_koutei02_INTER_ISSUE_DATE</vt:lpstr>
      <vt:lpstr>wskakunin_koutei02_INTER_ISSUE_NAME</vt:lpstr>
      <vt:lpstr>wskakunin_koutei02_INTER_ISSUE_NO</vt:lpstr>
      <vt:lpstr>wskakunin_koutei02_KOUTEI_DATE</vt:lpstr>
      <vt:lpstr>wskakunin_koutei02_KOUTEI_KAISUU</vt:lpstr>
      <vt:lpstr>wskakunin_koutei02_KOUTEI_TEXT</vt:lpstr>
      <vt:lpstr>wskakunin_koutei03_KOUTEI_DATE</vt:lpstr>
      <vt:lpstr>wskakunin_koutei03_KOUTEI_KAISUU</vt:lpstr>
      <vt:lpstr>wskakunin_koutei03_KOUTEI_TEXT</vt:lpstr>
      <vt:lpstr>wskakunin_koutei04_KOUTEI_DATE</vt:lpstr>
      <vt:lpstr>wskakunin_koutei04_KOUTEI_KAISUU</vt:lpstr>
      <vt:lpstr>wskakunin_koutei04_KOUTEI_TEXT</vt:lpstr>
      <vt:lpstr>wskakunin_KOUZOU1</vt:lpstr>
      <vt:lpstr>wskakunin_KOUZOU2</vt:lpstr>
      <vt:lpstr>wskakunin_KUIKI_HISETTEI</vt:lpstr>
      <vt:lpstr>wskakunin_KUIKI_JYUN_TOSHI</vt:lpstr>
      <vt:lpstr>wskakunin_KUIKI_KUIKIGAI</vt:lpstr>
      <vt:lpstr>wskakunin_KUIKI_SIGAIKA</vt:lpstr>
      <vt:lpstr>wskakunin_KUIKI_TOSI</vt:lpstr>
      <vt:lpstr>wskakunin_KUIKI_TYOSEI</vt:lpstr>
      <vt:lpstr>wskakunin_kyoka01_</vt:lpstr>
      <vt:lpstr>wskakunin_kyoka01_BIKOU</vt:lpstr>
      <vt:lpstr>wskakunin_kyoka01_HOUREI</vt:lpstr>
      <vt:lpstr>wskakunin_kyoka01_JOUKOU</vt:lpstr>
      <vt:lpstr>wskakunin_kyoka01_KYOKA_DATE</vt:lpstr>
      <vt:lpstr>wskakunin_kyoka01_KYOKA_NO</vt:lpstr>
      <vt:lpstr>wskakunin_kyoka02_BIKOU</vt:lpstr>
      <vt:lpstr>wskakunin_kyoka02_HOUREI</vt:lpstr>
      <vt:lpstr>wskakunin_kyoka02_JOUKOU</vt:lpstr>
      <vt:lpstr>wskakunin_kyoka02_KYOKA_DATE</vt:lpstr>
      <vt:lpstr>wskakunin_kyoka02_KYOKA_NO</vt:lpstr>
      <vt:lpstr>wskakunin_kyoka03_BIKOU</vt:lpstr>
      <vt:lpstr>wskakunin_kyoka03_HOUREI</vt:lpstr>
      <vt:lpstr>wskakunin_kyoka03_JOUKOU</vt:lpstr>
      <vt:lpstr>wskakunin_kyoka03_KYOKA_DATE</vt:lpstr>
      <vt:lpstr>wskakunin_kyoka03_KYOKA_NO</vt:lpstr>
      <vt:lpstr>wskakunin_LAST_ISSUE_DATE</vt:lpstr>
      <vt:lpstr>wskakunin_LAST_ISSUE_NAME</vt:lpstr>
      <vt:lpstr>wskakunin_LAST_ISSUE_NO</vt:lpstr>
      <vt:lpstr>wskakunin_LIMIT_KENPEI_RITU</vt:lpstr>
      <vt:lpstr>wskakunin_LIMIT_YOUSEKI_RITU</vt:lpstr>
      <vt:lpstr>wskakunin_NOBE_MENSEKI</vt:lpstr>
      <vt:lpstr>wskakunin_NOBE_MENSEKI_BITIKUSOUKO_IGAI</vt:lpstr>
      <vt:lpstr>wskakunin_NOBE_MENSEKI_BITIKUSOUKO_SHINSEI</vt:lpstr>
      <vt:lpstr>wskakunin_NOBE_MENSEKI_BITIKUSOUKO_TOTAL</vt:lpstr>
      <vt:lpstr>wskakunin_NOBE_MENSEKI_BUILD_IGAI</vt:lpstr>
      <vt:lpstr>wskakunin_NOBE_MENSEKI_BUILD_SHINSEI</vt:lpstr>
      <vt:lpstr>wskakunin_NOBE_MENSEKI_BUILD_TOTAL</vt:lpstr>
      <vt:lpstr>wskakunin_NOBE_MENSEKI_CHOSUISOU_IGAI</vt:lpstr>
      <vt:lpstr>wskakunin_NOBE_MENSEKI_CHOSUISOU_SHINSEI</vt:lpstr>
      <vt:lpstr>wskakunin_NOBE_MENSEKI_CHOSUISOU_TOTAL</vt:lpstr>
      <vt:lpstr>wskakunin_NOBE_MENSEKI_JIKAHATUDEN_IGAI</vt:lpstr>
      <vt:lpstr>wskakunin_NOBE_MENSEKI_JIKAHATUDEN_SHINSEI</vt:lpstr>
      <vt:lpstr>wskakunin_NOBE_MENSEKI_JIKAHATUDEN_TOTAL</vt:lpstr>
      <vt:lpstr>wskakunin_NOBE_MENSEKI_JYUTAKU_IGAI</vt:lpstr>
      <vt:lpstr>wskakunin_NOBE_MENSEKI_JYUTAKU_SHINSEI</vt:lpstr>
      <vt:lpstr>wskakunin_NOBE_MENSEKI_JYUTAKU_TOTAL</vt:lpstr>
      <vt:lpstr>wskakunin_NOBE_MENSEKI_KYOYOU_IGAI</vt:lpstr>
      <vt:lpstr>wskakunin_NOBE_MENSEKI_KYOYOU_SHINSEI</vt:lpstr>
      <vt:lpstr>wskakunin_NOBE_MENSEKI_KYOYOU_TOTAL</vt:lpstr>
      <vt:lpstr>wskakunin_NOBE_MENSEKI_ROUJIN_IGAI</vt:lpstr>
      <vt:lpstr>wskakunin_NOBE_MENSEKI_ROUJIN_SHINSEI</vt:lpstr>
      <vt:lpstr>wskakunin_NOBE_MENSEKI_ROUJIN_TOTAL</vt:lpstr>
      <vt:lpstr>wskakunin_NOBE_MENSEKI_SYAKO_IGAI</vt:lpstr>
      <vt:lpstr>wskakunin_NOBE_MENSEKI_SYAKO_SHINSEI</vt:lpstr>
      <vt:lpstr>wskakunin_NOBE_MENSEKI_SYAKO_TOTAL</vt:lpstr>
      <vt:lpstr>wskakunin_NOBE_MENSEKI_SYOUKOURO_IGAI</vt:lpstr>
      <vt:lpstr>wskakunin_NOBE_MENSEKI_SYOUKOURO_SHINSEI</vt:lpstr>
      <vt:lpstr>wskakunin_NOBE_MENSEKI_SYOUKOURO_TOTAL</vt:lpstr>
      <vt:lpstr>wskakunin_NOBE_MENSEKI_TAKUHAI_IGAI</vt:lpstr>
      <vt:lpstr>wskakunin_NOBE_MENSEKI_TAKUHAI_SHINSEI</vt:lpstr>
      <vt:lpstr>wskakunin_NOBE_MENSEKI_TAKUHAI_TOTAL</vt:lpstr>
      <vt:lpstr>wskakunin_NOBE_MENSEKI_TIKAI_IGAI</vt:lpstr>
      <vt:lpstr>wskakunin_NOBE_MENSEKI_TIKAI_SHINSEI</vt:lpstr>
      <vt:lpstr>wskakunin_NOBE_MENSEKI_TIKAI_TOTAL</vt:lpstr>
      <vt:lpstr>wskakunin_NOBE_MENSEKI_TIKUDENTI_IGAI</vt:lpstr>
      <vt:lpstr>wskakunin_NOBE_MENSEKI_TIKUDENTI_SHINSEI</vt:lpstr>
      <vt:lpstr>wskakunin_NOBE_MENSEKI_TIKUDENTI_TOTAL</vt:lpstr>
      <vt:lpstr>wskakunin_owner1__address</vt:lpstr>
      <vt:lpstr>wskakunin_owner1_JIMU_NAME</vt:lpstr>
      <vt:lpstr>wskakunin_owner1_JIMU_NAME_KANA</vt:lpstr>
      <vt:lpstr>wskakunin_owner1_NAME</vt:lpstr>
      <vt:lpstr>wskakunin_owner1_NAME_KANA</vt:lpstr>
      <vt:lpstr>wskakunin_owner1_POST</vt:lpstr>
      <vt:lpstr>wskakunin_owner1_POST_KANA</vt:lpstr>
      <vt:lpstr>wskakunin_owner1_TEL</vt:lpstr>
      <vt:lpstr>wskakunin_owner1_ZIP</vt:lpstr>
      <vt:lpstr>wskakunin_owner2__address</vt:lpstr>
      <vt:lpstr>wskakunin_owner2_JIMU_NAME</vt:lpstr>
      <vt:lpstr>wskakunin_owner2_JIMU_NAME_KANA</vt:lpstr>
      <vt:lpstr>wskakunin_owner2_NAME</vt:lpstr>
      <vt:lpstr>wskakunin_owner2_NAME_KANA</vt:lpstr>
      <vt:lpstr>wskakunin_owner2_POST</vt:lpstr>
      <vt:lpstr>wskakunin_owner2_POST_KANA</vt:lpstr>
      <vt:lpstr>wskakunin_owner2_TEL</vt:lpstr>
      <vt:lpstr>wskakunin_owner2_ZIP</vt:lpstr>
      <vt:lpstr>wskakunin_owner3__address</vt:lpstr>
      <vt:lpstr>wskakunin_owner3_JIMU_NAME</vt:lpstr>
      <vt:lpstr>wskakunin_owner3_JIMU_NAME_KANA</vt:lpstr>
      <vt:lpstr>wskakunin_owner3_NAME</vt:lpstr>
      <vt:lpstr>wskakunin_owner3_NAME_KANA</vt:lpstr>
      <vt:lpstr>wskakunin_owner3_POST</vt:lpstr>
      <vt:lpstr>wskakunin_owner3_POST_KANA</vt:lpstr>
      <vt:lpstr>wskakunin_owner3_TEL</vt:lpstr>
      <vt:lpstr>wskakunin_owner3_ZIP</vt:lpstr>
      <vt:lpstr>wskakunin_owner4__address</vt:lpstr>
      <vt:lpstr>wskakunin_owner4_JIMU_NAME</vt:lpstr>
      <vt:lpstr>wskakunin_owner4_JIMU_NAME_KANA</vt:lpstr>
      <vt:lpstr>wskakunin_owner4_NAME</vt:lpstr>
      <vt:lpstr>wskakunin_owner4_NAME_KANA</vt:lpstr>
      <vt:lpstr>wskakunin_owner4_POST</vt:lpstr>
      <vt:lpstr>wskakunin_owner4_POST_KANA</vt:lpstr>
      <vt:lpstr>wskakunin_owner4_TEL</vt:lpstr>
      <vt:lpstr>wskakunin_owner4_ZIP</vt:lpstr>
      <vt:lpstr>wskakunin_owner5__address</vt:lpstr>
      <vt:lpstr>wskakunin_owner5_JIMU_NAME</vt:lpstr>
      <vt:lpstr>wskakunin_owner5_JIMU_NAME_KANA</vt:lpstr>
      <vt:lpstr>wskakunin_owner5_NAME</vt:lpstr>
      <vt:lpstr>wskakunin_owner5_NAME_KANA</vt:lpstr>
      <vt:lpstr>wskakunin_owner5_POST</vt:lpstr>
      <vt:lpstr>wskakunin_owner5_POST_KANA</vt:lpstr>
      <vt:lpstr>wskakunin_owner5_TEL</vt:lpstr>
      <vt:lpstr>wskakunin_owner5_ZIP</vt:lpstr>
      <vt:lpstr>wskakunin_owner6__address</vt:lpstr>
      <vt:lpstr>wskakunin_owner6_JIMU_NAME</vt:lpstr>
      <vt:lpstr>wskakunin_owner6_JIMU_NAME_KANA</vt:lpstr>
      <vt:lpstr>wskakunin_owner6_NAME</vt:lpstr>
      <vt:lpstr>wskakunin_owner6_NAME_KANA</vt:lpstr>
      <vt:lpstr>wskakunin_owner6_POST</vt:lpstr>
      <vt:lpstr>wskakunin_owner6_POST_KANA</vt:lpstr>
      <vt:lpstr>wskakunin_owner6_TEL</vt:lpstr>
      <vt:lpstr>wskakunin_owner6_ZIP</vt:lpstr>
      <vt:lpstr>wskakunin_owner7__address</vt:lpstr>
      <vt:lpstr>wskakunin_owner7_JIMU_NAME</vt:lpstr>
      <vt:lpstr>wskakunin_owner7_JIMU_NAME_KANA</vt:lpstr>
      <vt:lpstr>wskakunin_owner7_NAME</vt:lpstr>
      <vt:lpstr>wskakunin_owner7_NAME_KANA</vt:lpstr>
      <vt:lpstr>wskakunin_owner7_POST</vt:lpstr>
      <vt:lpstr>wskakunin_owner7_POST_KANA</vt:lpstr>
      <vt:lpstr>wskakunin_owner7_TEL</vt:lpstr>
      <vt:lpstr>wskakunin_owner7_ZIP</vt:lpstr>
      <vt:lpstr>wskakunin_owner8__address</vt:lpstr>
      <vt:lpstr>wskakunin_owner8_JIMU_NAME</vt:lpstr>
      <vt:lpstr>wskakunin_owner8_JIMU_NAME_KANA</vt:lpstr>
      <vt:lpstr>wskakunin_owner8_NAME</vt:lpstr>
      <vt:lpstr>wskakunin_owner8_NAME_KANA</vt:lpstr>
      <vt:lpstr>wskakunin_owner8_POST</vt:lpstr>
      <vt:lpstr>wskakunin_owner8_POST_KANA</vt:lpstr>
      <vt:lpstr>wskakunin_owner8_TEL</vt:lpstr>
      <vt:lpstr>wskakunin_owner8_ZIP</vt:lpstr>
      <vt:lpstr>wskakunin_owner9__address</vt:lpstr>
      <vt:lpstr>wskakunin_owner9_JIMU_NAME</vt:lpstr>
      <vt:lpstr>wskakunin_owner9_JIMU_NAME_KANA</vt:lpstr>
      <vt:lpstr>wskakunin_owner9_NAME</vt:lpstr>
      <vt:lpstr>wskakunin_owner9_NAME_KANA</vt:lpstr>
      <vt:lpstr>wskakunin_owner9_POST</vt:lpstr>
      <vt:lpstr>wskakunin_owner9_POST_KANA</vt:lpstr>
      <vt:lpstr>wskakunin_owner9_TEL</vt:lpstr>
      <vt:lpstr>wskakunin_owner9_ZIP</vt:lpstr>
      <vt:lpstr>wskakunin_P1_HENKOU_GAIYOU</vt:lpstr>
      <vt:lpstr>wskakunin_P2_BIKOU</vt:lpstr>
      <vt:lpstr>wskakunin_P3_BIKOU</vt:lpstr>
      <vt:lpstr>wskakunin_P3_SONOTA</vt:lpstr>
      <vt:lpstr>wskakunin_p4_1__kouji</vt:lpstr>
      <vt:lpstr>wskakunin_p4_1_KAISU_TIKAI</vt:lpstr>
      <vt:lpstr>wskakunin_p4_1_KAISU_TIKAI_NOZOKU</vt:lpstr>
      <vt:lpstr>wskakunin_p4_1_KAISU_YUKA_MENSEKI_SHINSEI</vt:lpstr>
      <vt:lpstr>wskakunin_p4_1_KOUZOU1</vt:lpstr>
      <vt:lpstr>wskakunin_p4_1_KOUZOU2</vt:lpstr>
      <vt:lpstr>wskakunin_p4_1_p5_1_KAI</vt:lpstr>
      <vt:lpstr>wskakunin_p4_1_p5_1_P4_MENSEKI_SHINSEI</vt:lpstr>
      <vt:lpstr>wskakunin_p4_1_p5_2_KAI</vt:lpstr>
      <vt:lpstr>wskakunin_p4_1_p5_2_P4_MENSEKI_SHINSEI</vt:lpstr>
      <vt:lpstr>wskakunin_p4_1_p5_3_KAI</vt:lpstr>
      <vt:lpstr>wskakunin_p4_1_p5_3_P4_MENSEKI_SHINSEI</vt:lpstr>
      <vt:lpstr>wskakunin_p4_1_TAKASA_KEN_MAX</vt:lpstr>
      <vt:lpstr>wskakunin_p4_1_TAKASA_MAX</vt:lpstr>
      <vt:lpstr>wskakunin_p4_1_TOKUREI_KAKUNIN_FLAG</vt:lpstr>
      <vt:lpstr>wskakunin_p4_1_youto1_YOUTO</vt:lpstr>
      <vt:lpstr>wskakunin_p4_1_youto1_YOUTO_CODE</vt:lpstr>
      <vt:lpstr>wskakunin_PAGE1_ALTERATION_NOTE</vt:lpstr>
      <vt:lpstr>wskakunin_sekkei1__address</vt:lpstr>
      <vt:lpstr>wskakunin_sekkei1__sikaku</vt:lpstr>
      <vt:lpstr>wskakunin_sekkei1_DOC</vt:lpstr>
      <vt:lpstr>wskakunin_sekkei1_JIMU__sikaku</vt:lpstr>
      <vt:lpstr>wskakunin_sekkei1_JIMU_NAME</vt:lpstr>
      <vt:lpstr>wskakunin_sekkei1_JIMU_NO</vt:lpstr>
      <vt:lpstr>wskakunin_sekkei1_JIMU_SIKAKU__label</vt:lpstr>
      <vt:lpstr>wskakunin_sekkei1_JIMU_TOUROKU_KIKAN__label</vt:lpstr>
      <vt:lpstr>wskakunin_sekkei1_KENTIKUSI_NO</vt:lpstr>
      <vt:lpstr>wskakunin_sekkei1_NAME</vt:lpstr>
      <vt:lpstr>wskakunin_sekkei1_SIKAKU__label</vt:lpstr>
      <vt:lpstr>wskakunin_sekkei1_TEL</vt:lpstr>
      <vt:lpstr>wskakunin_sekkei1_TOUROKU_KIKAN__label</vt:lpstr>
      <vt:lpstr>wskakunin_sekkei1_ZIP</vt:lpstr>
      <vt:lpstr>wskakunin_sekkei10__address</vt:lpstr>
      <vt:lpstr>wskakunin_sekkei10__sikaku</vt:lpstr>
      <vt:lpstr>wskakunin_sekkei10_DOC</vt:lpstr>
      <vt:lpstr>wskakunin_sekkei10_JIMU__sikaku</vt:lpstr>
      <vt:lpstr>wskakunin_sekkei10_JIMU_NAME</vt:lpstr>
      <vt:lpstr>wskakunin_sekkei10_JIMU_NO</vt:lpstr>
      <vt:lpstr>wskakunin_sekkei10_JIMU_SIKAKU__label</vt:lpstr>
      <vt:lpstr>wskakunin_sekkei10_JIMU_TOUROKU_KIKAN__label</vt:lpstr>
      <vt:lpstr>wskakunin_sekkei10_KENTIKUSI_NO</vt:lpstr>
      <vt:lpstr>wskakunin_sekkei10_NAME</vt:lpstr>
      <vt:lpstr>wskakunin_sekkei10_SIKAKU__label</vt:lpstr>
      <vt:lpstr>wskakunin_sekkei10_TEL</vt:lpstr>
      <vt:lpstr>wskakunin_sekkei10_TOUROKU_KIKAN__label</vt:lpstr>
      <vt:lpstr>wskakunin_sekkei10_ZIP</vt:lpstr>
      <vt:lpstr>wskakunin_sekkei11__address</vt:lpstr>
      <vt:lpstr>wskakunin_sekkei11__sikaku</vt:lpstr>
      <vt:lpstr>wskakunin_sekkei11_DOC</vt:lpstr>
      <vt:lpstr>wskakunin_sekkei11_JIMU__sikaku</vt:lpstr>
      <vt:lpstr>wskakunin_sekkei11_JIMU_NAME</vt:lpstr>
      <vt:lpstr>wskakunin_sekkei11_JIMU_NO</vt:lpstr>
      <vt:lpstr>wskakunin_sekkei11_JIMU_SIKAKU__label</vt:lpstr>
      <vt:lpstr>wskakunin_sekkei11_JIMU_TOUROKU_KIKAN__label</vt:lpstr>
      <vt:lpstr>wskakunin_sekkei11_KENTIKUSI_NO</vt:lpstr>
      <vt:lpstr>wskakunin_sekkei11_NAME</vt:lpstr>
      <vt:lpstr>wskakunin_sekkei11_SIKAKU__label</vt:lpstr>
      <vt:lpstr>wskakunin_sekkei11_TEL</vt:lpstr>
      <vt:lpstr>wskakunin_sekkei11_TOUROKU_KIKAN__label</vt:lpstr>
      <vt:lpstr>wskakunin_sekkei11_ZIP</vt:lpstr>
      <vt:lpstr>wskakunin_sekkei12__address</vt:lpstr>
      <vt:lpstr>wskakunin_sekkei12__sikaku</vt:lpstr>
      <vt:lpstr>wskakunin_sekkei12_DOC</vt:lpstr>
      <vt:lpstr>wskakunin_sekkei12_JIMU__sikaku</vt:lpstr>
      <vt:lpstr>wskakunin_sekkei12_JIMU_NAME</vt:lpstr>
      <vt:lpstr>wskakunin_sekkei12_JIMU_NO</vt:lpstr>
      <vt:lpstr>wskakunin_sekkei12_JIMU_SIKAKU__label</vt:lpstr>
      <vt:lpstr>wskakunin_sekkei12_JIMU_TOUROKU_KIKAN__label</vt:lpstr>
      <vt:lpstr>wskakunin_sekkei12_KENTIKUSI_NO</vt:lpstr>
      <vt:lpstr>wskakunin_sekkei12_NAME</vt:lpstr>
      <vt:lpstr>wskakunin_sekkei12_SIKAKU__label</vt:lpstr>
      <vt:lpstr>wskakunin_sekkei12_TEL</vt:lpstr>
      <vt:lpstr>wskakunin_sekkei12_TOUROKU_KIKAN__label</vt:lpstr>
      <vt:lpstr>wskakunin_sekkei12_ZIP</vt:lpstr>
      <vt:lpstr>wskakunin_sekkei2__address</vt:lpstr>
      <vt:lpstr>wskakunin_sekkei2__sikaku</vt:lpstr>
      <vt:lpstr>wskakunin_sekkei2_DOC</vt:lpstr>
      <vt:lpstr>wskakunin_sekkei2_JIMU__sikaku</vt:lpstr>
      <vt:lpstr>wskakunin_sekkei2_JIMU_NAME</vt:lpstr>
      <vt:lpstr>wskakunin_sekkei2_JIMU_NO</vt:lpstr>
      <vt:lpstr>wskakunin_sekkei2_JIMU_SIKAKU__label</vt:lpstr>
      <vt:lpstr>wskakunin_sekkei2_JIMU_TOUROKU_KIKAN__label</vt:lpstr>
      <vt:lpstr>wskakunin_sekkei2_KENTIKUSI_NO</vt:lpstr>
      <vt:lpstr>wskakunin_sekkei2_NAME</vt:lpstr>
      <vt:lpstr>wskakunin_sekkei2_SIKAKU__label</vt:lpstr>
      <vt:lpstr>wskakunin_sekkei2_TEL</vt:lpstr>
      <vt:lpstr>wskakunin_sekkei2_TOUROKU_KIKAN__label</vt:lpstr>
      <vt:lpstr>wskakunin_sekkei2_ZIP</vt:lpstr>
      <vt:lpstr>wskakunin_sekkei3__address</vt:lpstr>
      <vt:lpstr>wskakunin_sekkei3__sikaku</vt:lpstr>
      <vt:lpstr>wskakunin_sekkei3_DOC</vt:lpstr>
      <vt:lpstr>wskakunin_sekkei3_JIMU__sikaku</vt:lpstr>
      <vt:lpstr>wskakunin_sekkei3_JIMU_NAME</vt:lpstr>
      <vt:lpstr>wskakunin_sekkei3_JIMU_NO</vt:lpstr>
      <vt:lpstr>wskakunin_sekkei3_JIMU_SIKAKU__label</vt:lpstr>
      <vt:lpstr>wskakunin_sekkei3_JIMU_TOUROKU_KIKAN__label</vt:lpstr>
      <vt:lpstr>wskakunin_sekkei3_KENTIKUSI_NO</vt:lpstr>
      <vt:lpstr>wskakunin_sekkei3_NAME</vt:lpstr>
      <vt:lpstr>wskakunin_sekkei3_SIKAKU__label</vt:lpstr>
      <vt:lpstr>wskakunin_sekkei3_TEL</vt:lpstr>
      <vt:lpstr>wskakunin_sekkei3_TOUROKU_KIKAN__label</vt:lpstr>
      <vt:lpstr>wskakunin_sekkei3_ZIP</vt:lpstr>
      <vt:lpstr>wskakunin_sekkei4__address</vt:lpstr>
      <vt:lpstr>wskakunin_sekkei4__sikaku</vt:lpstr>
      <vt:lpstr>wskakunin_sekkei4_DOC</vt:lpstr>
      <vt:lpstr>wskakunin_sekkei4_JIMU__sikaku</vt:lpstr>
      <vt:lpstr>wskakunin_sekkei4_JIMU_NAME</vt:lpstr>
      <vt:lpstr>wskakunin_sekkei4_JIMU_NO</vt:lpstr>
      <vt:lpstr>wskakunin_sekkei4_JIMU_SIKAKU__label</vt:lpstr>
      <vt:lpstr>wskakunin_sekkei4_JIMU_TOUROKU_KIKAN__label</vt:lpstr>
      <vt:lpstr>wskakunin_sekkei4_KENTIKUSI_NO</vt:lpstr>
      <vt:lpstr>wskakunin_sekkei4_NAME</vt:lpstr>
      <vt:lpstr>wskakunin_sekkei4_SIKAKU__label</vt:lpstr>
      <vt:lpstr>wskakunin_sekkei4_TEL</vt:lpstr>
      <vt:lpstr>wskakunin_sekkei4_TOUROKU_KIKAN__label</vt:lpstr>
      <vt:lpstr>wskakunin_sekkei4_ZIP</vt:lpstr>
      <vt:lpstr>wskakunin_sekkei5__address</vt:lpstr>
      <vt:lpstr>wskakunin_sekkei5__sikaku</vt:lpstr>
      <vt:lpstr>wskakunin_sekkei5_DOC</vt:lpstr>
      <vt:lpstr>wskakunin_sekkei5_JIMU__sikaku</vt:lpstr>
      <vt:lpstr>wskakunin_sekkei5_JIMU_NAME</vt:lpstr>
      <vt:lpstr>wskakunin_sekkei5_JIMU_NO</vt:lpstr>
      <vt:lpstr>wskakunin_sekkei5_JIMU_SIKAKU__label</vt:lpstr>
      <vt:lpstr>wskakunin_sekkei5_JIMU_TOUROKU_KIKAN__label</vt:lpstr>
      <vt:lpstr>wskakunin_sekkei5_KENTIKUSI_NO</vt:lpstr>
      <vt:lpstr>wskakunin_sekkei5_NAME</vt:lpstr>
      <vt:lpstr>wskakunin_sekkei5_SIKAKU__label</vt:lpstr>
      <vt:lpstr>wskakunin_sekkei5_TEL</vt:lpstr>
      <vt:lpstr>wskakunin_sekkei5_TOUROKU_KIKAN__label</vt:lpstr>
      <vt:lpstr>wskakunin_sekkei5_ZIP</vt:lpstr>
      <vt:lpstr>wskakunin_sekkei6__address</vt:lpstr>
      <vt:lpstr>wskakunin_sekkei6__sikaku</vt:lpstr>
      <vt:lpstr>wskakunin_sekkei6_DOC</vt:lpstr>
      <vt:lpstr>wskakunin_sekkei6_JIMU__sikaku</vt:lpstr>
      <vt:lpstr>wskakunin_sekkei6_JIMU_NAME</vt:lpstr>
      <vt:lpstr>wskakunin_sekkei6_JIMU_NO</vt:lpstr>
      <vt:lpstr>wskakunin_sekkei6_JIMU_SIKAKU__label</vt:lpstr>
      <vt:lpstr>wskakunin_sekkei6_JIMU_TOUROKU_KIKAN__label</vt:lpstr>
      <vt:lpstr>wskakunin_sekkei6_KENTIKUSI_NO</vt:lpstr>
      <vt:lpstr>wskakunin_sekkei6_NAME</vt:lpstr>
      <vt:lpstr>wskakunin_sekkei6_SIKAKU__label</vt:lpstr>
      <vt:lpstr>wskakunin_sekkei6_TEL</vt:lpstr>
      <vt:lpstr>wskakunin_sekkei6_TOUROKU_KIKAN__label</vt:lpstr>
      <vt:lpstr>wskakunin_sekkei6_ZIP</vt:lpstr>
      <vt:lpstr>wskakunin_sekkei7__address</vt:lpstr>
      <vt:lpstr>wskakunin_sekkei7__sikaku</vt:lpstr>
      <vt:lpstr>wskakunin_sekkei7_DOC</vt:lpstr>
      <vt:lpstr>wskakunin_sekkei7_JIMU__sikaku</vt:lpstr>
      <vt:lpstr>wskakunin_sekkei7_JIMU_NAME</vt:lpstr>
      <vt:lpstr>wskakunin_sekkei7_JIMU_NO</vt:lpstr>
      <vt:lpstr>wskakunin_sekkei7_JIMU_SIKAKU__label</vt:lpstr>
      <vt:lpstr>wskakunin_sekkei7_JIMU_TOUROKU_KIKAN__label</vt:lpstr>
      <vt:lpstr>wskakunin_sekkei7_KENTIKUSI_NO</vt:lpstr>
      <vt:lpstr>wskakunin_sekkei7_NAME</vt:lpstr>
      <vt:lpstr>wskakunin_sekkei7_SIKAKU__label</vt:lpstr>
      <vt:lpstr>wskakunin_sekkei7_TEL</vt:lpstr>
      <vt:lpstr>wskakunin_sekkei7_TOUROKU_KIKAN__label</vt:lpstr>
      <vt:lpstr>wskakunin_sekkei7_ZIP</vt:lpstr>
      <vt:lpstr>wskakunin_sekkei8__address</vt:lpstr>
      <vt:lpstr>wskakunin_sekkei8__sikaku</vt:lpstr>
      <vt:lpstr>wskakunin_sekkei8_DOC</vt:lpstr>
      <vt:lpstr>wskakunin_sekkei8_JIMU__sikaku</vt:lpstr>
      <vt:lpstr>wskakunin_sekkei8_JIMU_NAME</vt:lpstr>
      <vt:lpstr>wskakunin_sekkei8_JIMU_NO</vt:lpstr>
      <vt:lpstr>wskakunin_sekkei8_JIMU_SIKAKU__label</vt:lpstr>
      <vt:lpstr>wskakunin_sekkei8_JIMU_TOUROKU_KIKAN__label</vt:lpstr>
      <vt:lpstr>wskakunin_sekkei8_KENTIKUSI_NO</vt:lpstr>
      <vt:lpstr>wskakunin_sekkei8_NAME</vt:lpstr>
      <vt:lpstr>wskakunin_sekkei8_SIKAKU__label</vt:lpstr>
      <vt:lpstr>wskakunin_sekkei8_TEL</vt:lpstr>
      <vt:lpstr>wskakunin_sekkei8_TOUROKU_KIKAN__label</vt:lpstr>
      <vt:lpstr>wskakunin_sekkei8_ZIP</vt:lpstr>
      <vt:lpstr>wskakunin_sekkei9__address</vt:lpstr>
      <vt:lpstr>wskakunin_sekkei9__sikaku</vt:lpstr>
      <vt:lpstr>wskakunin_sekkei9_DOC</vt:lpstr>
      <vt:lpstr>wskakunin_sekkei9_JIMU__sikaku</vt:lpstr>
      <vt:lpstr>wskakunin_sekkei9_JIMU_NAME</vt:lpstr>
      <vt:lpstr>wskakunin_sekkei9_JIMU_NO</vt:lpstr>
      <vt:lpstr>wskakunin_sekkei9_JIMU_SIKAKU__label</vt:lpstr>
      <vt:lpstr>wskakunin_sekkei9_JIMU_TOUROKU_KIKAN__label</vt:lpstr>
      <vt:lpstr>wskakunin_sekkei9_KENTIKUSI_NO</vt:lpstr>
      <vt:lpstr>wskakunin_sekkei9_NAME</vt:lpstr>
      <vt:lpstr>wskakunin_sekkei9_SIKAKU__label</vt:lpstr>
      <vt:lpstr>wskakunin_sekkei9_TEL</vt:lpstr>
      <vt:lpstr>wskakunin_sekkei9_TOUROKU_KIKAN__label</vt:lpstr>
      <vt:lpstr>wskakunin_sekkei9_ZIP</vt:lpstr>
      <vt:lpstr>wskakunin_sekou1__address</vt:lpstr>
      <vt:lpstr>wskakunin_sekou1_JIMU_NAME</vt:lpstr>
      <vt:lpstr>wskakunin_sekou1_NAME</vt:lpstr>
      <vt:lpstr>wskakunin_sekou1_SEKOU__sikaku</vt:lpstr>
      <vt:lpstr>wskakunin_sekou1_SEKOU_NO</vt:lpstr>
      <vt:lpstr>wskakunin_sekou1_SEKOU_SIKAKU__label</vt:lpstr>
      <vt:lpstr>wskakunin_sekou1_TEL</vt:lpstr>
      <vt:lpstr>wskakunin_sekou1_ZIP</vt:lpstr>
      <vt:lpstr>wskakunin_sekou2__address</vt:lpstr>
      <vt:lpstr>wskakunin_sekou2_JIMU_NAME</vt:lpstr>
      <vt:lpstr>wskakunin_sekou2_NAME</vt:lpstr>
      <vt:lpstr>wskakunin_sekou2_SEKOU__sikaku</vt:lpstr>
      <vt:lpstr>wskakunin_sekou2_SEKOU_NO</vt:lpstr>
      <vt:lpstr>wskakunin_sekou2_SEKOU_SIKAKU__label</vt:lpstr>
      <vt:lpstr>wskakunin_sekou2_TEL</vt:lpstr>
      <vt:lpstr>wskakunin_sekou2_ZIP</vt:lpstr>
      <vt:lpstr>wskakunin_sekou3__address</vt:lpstr>
      <vt:lpstr>wskakunin_sekou3_JIMU_NAME</vt:lpstr>
      <vt:lpstr>wskakunin_sekou3_NAME</vt:lpstr>
      <vt:lpstr>wskakunin_sekou3_SEKOU__sikaku</vt:lpstr>
      <vt:lpstr>wskakunin_sekou3_SEKOU_NO</vt:lpstr>
      <vt:lpstr>wskakunin_sekou3_SEKOU_SIKAKU__label</vt:lpstr>
      <vt:lpstr>wskakunin_sekou3_TEL</vt:lpstr>
      <vt:lpstr>wskakunin_sekou3_ZIP</vt:lpstr>
      <vt:lpstr>wskakunin_sekou4__address</vt:lpstr>
      <vt:lpstr>wskakunin_sekou4_JIMU_NAME</vt:lpstr>
      <vt:lpstr>wskakunin_sekou4_NAME</vt:lpstr>
      <vt:lpstr>wskakunin_sekou4_SEKOU__sikaku</vt:lpstr>
      <vt:lpstr>wskakunin_sekou4_SEKOU_NO</vt:lpstr>
      <vt:lpstr>wskakunin_sekou4_SEKOU_SIKAKU__label</vt:lpstr>
      <vt:lpstr>wskakunin_sekou4_TEL</vt:lpstr>
      <vt:lpstr>wskakunin_sekou4_ZIP</vt:lpstr>
      <vt:lpstr>wskakunin_sekou5__address</vt:lpstr>
      <vt:lpstr>wskakunin_sekou5_JIMU_NAME</vt:lpstr>
      <vt:lpstr>wskakunin_sekou5_NAME</vt:lpstr>
      <vt:lpstr>wskakunin_sekou5_SEKOU__sikaku</vt:lpstr>
      <vt:lpstr>wskakunin_sekou5_SEKOU_NO</vt:lpstr>
      <vt:lpstr>wskakunin_sekou5_SEKOU_SIKAKU__label</vt:lpstr>
      <vt:lpstr>wskakunin_sekou5_TEL</vt:lpstr>
      <vt:lpstr>wskakunin_sekou5_ZIP</vt:lpstr>
      <vt:lpstr>wskakunin_sekou6__address</vt:lpstr>
      <vt:lpstr>wskakunin_sekou6_JIMU_NAME</vt:lpstr>
      <vt:lpstr>wskakunin_sekou6_NAME</vt:lpstr>
      <vt:lpstr>wskakunin_sekou6_SEKOU__sikaku</vt:lpstr>
      <vt:lpstr>wskakunin_sekou6_SEKOU_NO</vt:lpstr>
      <vt:lpstr>wskakunin_sekou6_SEKOU_SIKAKU__label</vt:lpstr>
      <vt:lpstr>wskakunin_sekou6_TEL</vt:lpstr>
      <vt:lpstr>wskakunin_sekou6_ZIP</vt:lpstr>
      <vt:lpstr>wskakunin_SHIKITI_MENSEKI_1_TOTAL</vt:lpstr>
      <vt:lpstr>wskakunin_SHIKITI_MENSEKI_1A</vt:lpstr>
      <vt:lpstr>wskakunin_SHIKITI_MENSEKI_1B</vt:lpstr>
      <vt:lpstr>wskakunin_SHIKITI_MENSEKI_1C</vt:lpstr>
      <vt:lpstr>wskakunin_SHIKITI_MENSEKI_1D</vt:lpstr>
      <vt:lpstr>wskakunin_SHIKITI_MENSEKI_2_TOTAL</vt:lpstr>
      <vt:lpstr>wskakunin_SHIKITI_MENSEKI_2A</vt:lpstr>
      <vt:lpstr>wskakunin_SHIKITI_MENSEKI_2B</vt:lpstr>
      <vt:lpstr>wskakunin_SHIKITI_MENSEKI_2C</vt:lpstr>
      <vt:lpstr>wskakunin_SHIKITI_MENSEKI_2D</vt:lpstr>
      <vt:lpstr>wskakunin_SHIKITI_MENSEKI_BIKOU</vt:lpstr>
      <vt:lpstr>wskakunin_SHINSEI_DATE</vt:lpstr>
      <vt:lpstr>wskakunin_SONOTA_KUIKI</vt:lpstr>
      <vt:lpstr>wskakunin_TAKASA_MAX_SHINSEI</vt:lpstr>
      <vt:lpstr>wskakunin_TAKASA_MAX_SONOTA</vt:lpstr>
      <vt:lpstr>wskakunin_tekihan01_TEKIHAN_KIKAN_ADDRESS</vt:lpstr>
      <vt:lpstr>wskakunin_tekihan01_TEKIHAN_KIKAN_KEN__ken</vt:lpstr>
      <vt:lpstr>wskakunin_tekihan01_TEKIHAN_KIKAN_NAME</vt:lpstr>
      <vt:lpstr>wskakunin_tekihan01_TEKIHAN_STATE</vt:lpstr>
      <vt:lpstr>wskakunin_tekihan02_TEKIHAN_KIKAN_ADDRESS</vt:lpstr>
      <vt:lpstr>wskakunin_tekihan02_TEKIHAN_KIKAN_KEN__ken</vt:lpstr>
      <vt:lpstr>wskakunin_tekihan02_TEKIHAN_KIKAN_NAME</vt:lpstr>
      <vt:lpstr>wskakunin_TOKUREI_1</vt:lpstr>
      <vt:lpstr>wskakunin_TOKUREI_2</vt:lpstr>
      <vt:lpstr>wskakunin_TOKUREI_3</vt:lpstr>
      <vt:lpstr>wskakunin_TOKUREI_4</vt:lpstr>
      <vt:lpstr>wskakunin_TOKUREI_TAKASA</vt:lpstr>
      <vt:lpstr>wskakunin_TOKUREI_TAKASA_DOURO</vt:lpstr>
      <vt:lpstr>wskakunin_TOKUREI_TAKASA_KITA</vt:lpstr>
      <vt:lpstr>wskakunin_TOKUREI_TAKASA_RINTI</vt:lpstr>
      <vt:lpstr>wskakunin_TOKUTEI_KOUJI_KANRYOU_DATE</vt:lpstr>
      <vt:lpstr>wskakunin_TOKUTEI_KOUTEI</vt:lpstr>
      <vt:lpstr>wskakunin_YOUSEKI_RITU</vt:lpstr>
      <vt:lpstr>wskakunin_YOUSEKI_RITU_A</vt:lpstr>
      <vt:lpstr>wskakunin_YOUSEKI_RITU_B</vt:lpstr>
      <vt:lpstr>wskakunin_YOUSEKI_RITU_C</vt:lpstr>
      <vt:lpstr>wskakunin_YOUSEKI_RITU_D</vt:lpstr>
      <vt:lpstr>wskakunin_YOUTO</vt:lpstr>
      <vt:lpstr>wskakunin_YOUTO_CODE</vt:lpstr>
      <vt:lpstr>wskakunin_YOUTO_TIIKI_A</vt:lpstr>
      <vt:lpstr>wskakunin_YOUTO_TIIKI_B</vt:lpstr>
      <vt:lpstr>wskakunin_YOUTO_TIIKI_C</vt:lpstr>
      <vt:lpstr>wskakunin_YOUTO_TIIKI_D</vt:lpstr>
      <vt:lpstr>wskakuninKOUJI_SETUBI</vt:lpstr>
      <vt:lpstr>しろくろ</vt:lpstr>
      <vt:lpstr>チェック</vt:lpstr>
      <vt:lpstr>はんとく</vt:lpstr>
      <vt:lpstr>一級</vt:lpstr>
      <vt:lpstr>外壁後退</vt:lpstr>
      <vt:lpstr>確変</vt:lpstr>
      <vt:lpstr>居住専用番号</vt:lpstr>
      <vt:lpstr>許可</vt:lpstr>
      <vt:lpstr>許可区分</vt:lpstr>
      <vt:lpstr>近隣商業地域</vt:lpstr>
      <vt:lpstr>近隣商業地域建ぺい率</vt:lpstr>
      <vt:lpstr>月</vt:lpstr>
      <vt:lpstr>建ぺい率</vt:lpstr>
      <vt:lpstr>建昇工</vt:lpstr>
      <vt:lpstr>建築士</vt:lpstr>
      <vt:lpstr>県知事</vt:lpstr>
      <vt:lpstr>工業専用地域</vt:lpstr>
      <vt:lpstr>工業専用地域建ぺい率</vt:lpstr>
      <vt:lpstr>工業地域</vt:lpstr>
      <vt:lpstr>工業地域建ぺい率</vt:lpstr>
      <vt:lpstr>工事届用主要用途</vt:lpstr>
      <vt:lpstr>工事届用主要用途2</vt:lpstr>
      <vt:lpstr>構造</vt:lpstr>
      <vt:lpstr>号</vt:lpstr>
      <vt:lpstr>産業番号</vt:lpstr>
      <vt:lpstr>指定なし</vt:lpstr>
      <vt:lpstr>指定なし建ぺい率</vt:lpstr>
      <vt:lpstr>施工者</vt:lpstr>
      <vt:lpstr>資格</vt:lpstr>
      <vt:lpstr>準工業地域</vt:lpstr>
      <vt:lpstr>準工業地域建ぺい率</vt:lpstr>
      <vt:lpstr>準住居地域</vt:lpstr>
      <vt:lpstr>準住居地域建ぺい率</vt:lpstr>
      <vt:lpstr>商業地域</vt:lpstr>
      <vt:lpstr>商業地域建ぺい率</vt:lpstr>
      <vt:lpstr>図書</vt:lpstr>
      <vt:lpstr>数字</vt:lpstr>
      <vt:lpstr>耐火建築物</vt:lpstr>
      <vt:lpstr>大臣</vt:lpstr>
      <vt:lpstr>第一種住居地域</vt:lpstr>
      <vt:lpstr>第一種住居地域建ぺい率</vt:lpstr>
      <vt:lpstr>第一種中高層住居専用地域</vt:lpstr>
      <vt:lpstr>第一種中高層住居専用地域建ぺい率</vt:lpstr>
      <vt:lpstr>第一種低層住居専用地域</vt:lpstr>
      <vt:lpstr>第一種低層住居専用地域建ぺい率</vt:lpstr>
      <vt:lpstr>第二種住居地域</vt:lpstr>
      <vt:lpstr>第二種住居地域建ぺい率</vt:lpstr>
      <vt:lpstr>第二種中高層住居専用地域</vt:lpstr>
      <vt:lpstr>第二種中高層住居専用地域建ぺい率</vt:lpstr>
      <vt:lpstr>第二種低層住居専用地域</vt:lpstr>
      <vt:lpstr>第二種低層住居専用地域建ぺい率</vt:lpstr>
      <vt:lpstr>都道府県</vt:lpstr>
      <vt:lpstr>特定工程</vt:lpstr>
      <vt:lpstr>二級</vt:lpstr>
      <vt:lpstr>年度</vt:lpstr>
      <vt:lpstr>便所</vt:lpstr>
      <vt:lpstr>面積</vt:lpstr>
      <vt:lpstr>木造</vt:lpstr>
      <vt:lpstr>容積率</vt:lpstr>
      <vt:lpstr>用途区分</vt:lpstr>
      <vt:lpstr>用途地域</vt:lpstr>
      <vt:lpstr>和暦</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nishitani</dc:creator>
  <cp:lastModifiedBy>田口 大輔</cp:lastModifiedBy>
  <cp:lastPrinted>2020-12-10T01:28:59Z</cp:lastPrinted>
  <dcterms:created xsi:type="dcterms:W3CDTF">2016-04-05T10:41:15Z</dcterms:created>
  <dcterms:modified xsi:type="dcterms:W3CDTF">2020-12-10T01:31:57Z</dcterms:modified>
</cp:coreProperties>
</file>